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ProcessModel" sheetId="1" r:id="rId1"/>
    <sheet name="CostAnalysis" sheetId="2" r:id="rId2"/>
  </sheets>
  <calcPr calcId="145621"/>
</workbook>
</file>

<file path=xl/calcChain.xml><?xml version="1.0" encoding="utf-8"?>
<calcChain xmlns="http://schemas.openxmlformats.org/spreadsheetml/2006/main">
  <c r="J40" i="1" l="1"/>
  <c r="K41" i="1" l="1"/>
  <c r="K42" i="1"/>
  <c r="K43" i="1"/>
  <c r="K44" i="1"/>
  <c r="K45" i="1"/>
  <c r="K46" i="1"/>
  <c r="K47" i="1"/>
  <c r="K48" i="1"/>
  <c r="K40" i="1"/>
  <c r="J41" i="1"/>
  <c r="J42" i="1"/>
  <c r="J43" i="1"/>
  <c r="J44" i="1"/>
  <c r="J45" i="1"/>
  <c r="J46" i="1"/>
  <c r="J47" i="1"/>
  <c r="J48" i="1"/>
  <c r="G41" i="1"/>
  <c r="G42" i="1"/>
  <c r="G43" i="1"/>
  <c r="G44" i="1"/>
  <c r="G45" i="1"/>
  <c r="G46" i="1"/>
  <c r="G47" i="1"/>
  <c r="G48" i="1"/>
  <c r="G40" i="1"/>
  <c r="I41" i="1"/>
  <c r="I42" i="1"/>
  <c r="I43" i="1"/>
  <c r="I44" i="1"/>
  <c r="I45" i="1"/>
  <c r="I46" i="1"/>
  <c r="I47" i="1"/>
  <c r="I48" i="1"/>
  <c r="I40" i="1"/>
  <c r="H41" i="1"/>
  <c r="H42" i="1"/>
  <c r="H43" i="1"/>
  <c r="H44" i="1"/>
  <c r="H45" i="1"/>
  <c r="H46" i="1"/>
  <c r="H47" i="1"/>
  <c r="H48" i="1"/>
  <c r="H40" i="1"/>
  <c r="F41" i="1"/>
  <c r="F42" i="1"/>
  <c r="F43" i="1"/>
  <c r="F44" i="1"/>
  <c r="F45" i="1"/>
  <c r="F46" i="1"/>
  <c r="F47" i="1"/>
  <c r="F48" i="1"/>
  <c r="F40" i="1"/>
  <c r="E41" i="1"/>
  <c r="E42" i="1"/>
  <c r="E43" i="1"/>
  <c r="E44" i="1"/>
  <c r="E45" i="1"/>
  <c r="E46" i="1"/>
  <c r="E47" i="1"/>
  <c r="E48" i="1"/>
  <c r="E40" i="1"/>
  <c r="D41" i="1"/>
  <c r="D42" i="1"/>
  <c r="D43" i="1"/>
  <c r="D44" i="1"/>
  <c r="D45" i="1"/>
  <c r="D46" i="1"/>
  <c r="D47" i="1"/>
  <c r="D48" i="1"/>
  <c r="D40" i="1"/>
  <c r="C41" i="1"/>
  <c r="C42" i="1"/>
  <c r="C43" i="1"/>
  <c r="C44" i="1"/>
  <c r="C45" i="1"/>
  <c r="C46" i="1"/>
  <c r="C47" i="1"/>
  <c r="C48" i="1"/>
  <c r="C40" i="1"/>
  <c r="L8" i="2" l="1"/>
  <c r="L9" i="2"/>
  <c r="L10" i="2"/>
  <c r="L11" i="2"/>
  <c r="L12" i="2"/>
  <c r="L13" i="2"/>
  <c r="L14" i="2"/>
  <c r="L7" i="2"/>
  <c r="L6" i="2"/>
  <c r="C19" i="2"/>
  <c r="C21" i="2"/>
  <c r="C16" i="2"/>
  <c r="R6" i="1"/>
  <c r="R7" i="1"/>
  <c r="R8" i="1"/>
  <c r="R9" i="1"/>
  <c r="R10" i="1"/>
  <c r="R11" i="1"/>
  <c r="R12" i="1"/>
  <c r="R13" i="1"/>
  <c r="R5" i="1"/>
  <c r="F6" i="1"/>
  <c r="AB6" i="1" s="1"/>
  <c r="F7" i="1"/>
  <c r="AB7" i="1" s="1"/>
  <c r="F8" i="1"/>
  <c r="AB8" i="1" s="1"/>
  <c r="F9" i="1"/>
  <c r="AB9" i="1" s="1"/>
  <c r="F10" i="1"/>
  <c r="AB10" i="1" s="1"/>
  <c r="F11" i="1"/>
  <c r="AB11" i="1" s="1"/>
  <c r="F12" i="1"/>
  <c r="AB12" i="1" s="1"/>
  <c r="F13" i="1"/>
  <c r="AB13" i="1" s="1"/>
  <c r="F5" i="1"/>
  <c r="AB5" i="1" s="1"/>
  <c r="C13" i="1"/>
  <c r="C12" i="1"/>
  <c r="C11" i="1"/>
  <c r="C10" i="1"/>
  <c r="C9" i="1"/>
  <c r="C8" i="1"/>
  <c r="C7" i="1"/>
  <c r="C6" i="1"/>
  <c r="C5" i="1"/>
  <c r="C15" i="2" l="1"/>
  <c r="C14" i="2"/>
  <c r="C8" i="2"/>
  <c r="C9" i="2" s="1"/>
  <c r="C22" i="2"/>
  <c r="C20" i="2"/>
  <c r="C17" i="2" l="1"/>
  <c r="C18" i="2"/>
  <c r="C23" i="2" l="1"/>
  <c r="C26" i="2" s="1"/>
  <c r="C27" i="2" l="1"/>
  <c r="C28" i="2" s="1"/>
  <c r="C42" i="2"/>
  <c r="C43" i="2" s="1"/>
  <c r="C44" i="2" s="1"/>
  <c r="C33" i="2"/>
  <c r="C34" i="2" s="1"/>
  <c r="C29" i="2"/>
  <c r="C30" i="2" s="1"/>
  <c r="C31" i="2"/>
  <c r="C45" i="2" l="1"/>
  <c r="C47" i="2" s="1"/>
  <c r="C48" i="2" s="1"/>
  <c r="C32" i="2"/>
  <c r="C50" i="2" s="1"/>
  <c r="C35" i="2"/>
  <c r="C36" i="2" s="1"/>
  <c r="C52" i="2" l="1"/>
  <c r="C54" i="2" s="1"/>
  <c r="C37" i="2"/>
  <c r="C38" i="2" s="1"/>
</calcChain>
</file>

<file path=xl/sharedStrings.xml><?xml version="1.0" encoding="utf-8"?>
<sst xmlns="http://schemas.openxmlformats.org/spreadsheetml/2006/main" count="159" uniqueCount="116">
  <si>
    <t>InFlow
/LPH</t>
  </si>
  <si>
    <t>OutFlow
/LPH</t>
  </si>
  <si>
    <t>mg/L</t>
    <phoneticPr fontId="1" type="noConversion"/>
  </si>
  <si>
    <t>g/L</t>
    <phoneticPr fontId="1" type="noConversion"/>
  </si>
  <si>
    <t>Total electrolyte circulation rate</t>
    <phoneticPr fontId="1" type="noConversion"/>
  </si>
  <si>
    <t>Dechlorination capacity needed</t>
    <phoneticPr fontId="1" type="noConversion"/>
  </si>
  <si>
    <t>g/day</t>
    <phoneticPr fontId="1" type="noConversion"/>
  </si>
  <si>
    <t>Delta flow ratio</t>
    <phoneticPr fontId="1" type="noConversion"/>
  </si>
  <si>
    <t>Corresponding inlet flow intensity for water</t>
    <phoneticPr fontId="1" type="noConversion"/>
  </si>
  <si>
    <t>Corresponding inlet flow intensity for spent electrolyte</t>
    <phoneticPr fontId="1" type="noConversion"/>
  </si>
  <si>
    <t>Corresponding outlet flow intensity of purified electrolyte</t>
    <phoneticPr fontId="1" type="noConversion"/>
  </si>
  <si>
    <t>mol/L</t>
    <phoneticPr fontId="1" type="noConversion"/>
  </si>
  <si>
    <t>mg/L</t>
    <phoneticPr fontId="1" type="noConversion"/>
  </si>
  <si>
    <t>Dechlorination capacity in DD system</t>
    <phoneticPr fontId="1" type="noConversion"/>
  </si>
  <si>
    <t>Effective membrane area needed for full-scale plant</t>
    <phoneticPr fontId="1" type="noConversion"/>
  </si>
  <si>
    <t>g/h</t>
    <phoneticPr fontId="1" type="noConversion"/>
  </si>
  <si>
    <t>Inlet flow rate of water</t>
    <phoneticPr fontId="1" type="noConversion"/>
  </si>
  <si>
    <t>Effective membrane area of lab DD dialyzer</t>
    <phoneticPr fontId="1" type="noConversion"/>
  </si>
  <si>
    <t>L/h</t>
    <phoneticPr fontId="1" type="noConversion"/>
  </si>
  <si>
    <t>Inlet flow rate of spent zinc electrolyte</t>
    <phoneticPr fontId="1" type="noConversion"/>
  </si>
  <si>
    <t>Outlet flow rate of purified zinc electrolyte</t>
    <phoneticPr fontId="1" type="noConversion"/>
  </si>
  <si>
    <t>Volume expasion for zinc electrolyte</t>
    <phoneticPr fontId="1" type="noConversion"/>
  </si>
  <si>
    <t>mol/h</t>
    <phoneticPr fontId="1" type="noConversion"/>
  </si>
  <si>
    <t>t/day</t>
    <phoneticPr fontId="1" type="noConversion"/>
  </si>
  <si>
    <t>AEM membrane price</t>
    <phoneticPr fontId="1" type="noConversion"/>
  </si>
  <si>
    <t>TWDDA AEM</t>
    <phoneticPr fontId="1" type="noConversion"/>
  </si>
  <si>
    <t>Cost of membrane</t>
    <phoneticPr fontId="1" type="noConversion"/>
  </si>
  <si>
    <t>Total area of membrane needed</t>
    <phoneticPr fontId="1" type="noConversion"/>
  </si>
  <si>
    <t>80% effective area</t>
    <phoneticPr fontId="1" type="noConversion"/>
  </si>
  <si>
    <t>Cost of DD dialyzer</t>
    <phoneticPr fontId="1" type="noConversion"/>
  </si>
  <si>
    <t>1.5 times of membrane cost</t>
    <phoneticPr fontId="1" type="noConversion"/>
  </si>
  <si>
    <t>50% of DD dialyzer</t>
    <phoneticPr fontId="1" type="noConversion"/>
  </si>
  <si>
    <t xml:space="preserve">DD dialyzer + peripheral equipments </t>
    <phoneticPr fontId="1" type="noConversion"/>
  </si>
  <si>
    <t>Life-span of DD system</t>
    <phoneticPr fontId="1" type="noConversion"/>
  </si>
  <si>
    <t>year</t>
    <phoneticPr fontId="1" type="noConversion"/>
  </si>
  <si>
    <t>Cost of peripheral equipments</t>
    <phoneticPr fontId="1" type="noConversion"/>
  </si>
  <si>
    <t>$</t>
    <phoneticPr fontId="1" type="noConversion"/>
  </si>
  <si>
    <t>$/day</t>
    <phoneticPr fontId="1" type="noConversion"/>
  </si>
  <si>
    <t>$/t</t>
    <phoneticPr fontId="1" type="noConversion"/>
  </si>
  <si>
    <t>Capital cost</t>
    <phoneticPr fontId="1" type="noConversion"/>
  </si>
  <si>
    <t>Total cost</t>
    <phoneticPr fontId="1" type="noConversion"/>
  </si>
  <si>
    <t>Feeding side (Spent electrolyte)</t>
    <phoneticPr fontId="1" type="noConversion"/>
  </si>
  <si>
    <t>Delta Flow</t>
    <phoneticPr fontId="1" type="noConversion"/>
  </si>
  <si>
    <t>Delta Flow</t>
    <phoneticPr fontId="1" type="noConversion"/>
  </si>
  <si>
    <t>DD scale-up for plant</t>
    <phoneticPr fontId="1" type="noConversion"/>
  </si>
  <si>
    <t>300 work days for 1 year</t>
    <phoneticPr fontId="1" type="noConversion"/>
  </si>
  <si>
    <t>Dechlorination performance of continous DD in lab</t>
    <phoneticPr fontId="1" type="noConversion"/>
  </si>
  <si>
    <t>Cost estimation for full system</t>
    <phoneticPr fontId="1" type="noConversion"/>
  </si>
  <si>
    <t>!!!You can input here</t>
    <phoneticPr fontId="1" type="noConversion"/>
  </si>
  <si>
    <t>Capital+chemical+effluent disposal</t>
    <phoneticPr fontId="1" type="noConversion"/>
  </si>
  <si>
    <t>Flow intensity</t>
    <phoneticPr fontId="1" type="noConversion"/>
  </si>
  <si>
    <t>Calculated from process model</t>
    <phoneticPr fontId="1" type="noConversion"/>
  </si>
  <si>
    <t>Calculated from process model</t>
    <phoneticPr fontId="1" type="noConversion"/>
  </si>
  <si>
    <t>Dialysis Coefficient (m/h)</t>
    <phoneticPr fontId="13" type="noConversion"/>
  </si>
  <si>
    <t>Feed composition</t>
    <phoneticPr fontId="1" type="noConversion"/>
  </si>
  <si>
    <t>Avg delta flow ratio</t>
    <phoneticPr fontId="1" type="noConversion"/>
  </si>
  <si>
    <r>
      <rPr>
        <b/>
        <sz val="12"/>
        <color theme="1"/>
        <rFont val="Times New Roman"/>
        <family val="1"/>
      </rPr>
      <t>Table S3.</t>
    </r>
    <r>
      <rPr>
        <sz val="12"/>
        <color theme="1"/>
        <rFont val="Times New Roman"/>
        <family val="1"/>
      </rPr>
      <t xml:space="preserve"> Detailed procedure for the cost estimation.</t>
    </r>
    <phoneticPr fontId="1" type="noConversion"/>
  </si>
  <si>
    <r>
      <t>Amount of 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 xml:space="preserve"> loss</t>
    </r>
    <phoneticPr fontId="1" type="noConversion"/>
  </si>
  <si>
    <r>
      <t>Amount of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makeup</t>
    </r>
    <phoneticPr fontId="1" type="noConversion"/>
  </si>
  <si>
    <t>Facts of the full scale plant</t>
    <phoneticPr fontId="1" type="noConversion"/>
  </si>
  <si>
    <r>
      <rPr>
        <b/>
        <sz val="12"/>
        <color theme="1"/>
        <rFont val="Times New Roman"/>
        <family val="1"/>
      </rPr>
      <t xml:space="preserve">Table S1. </t>
    </r>
    <r>
      <rPr>
        <sz val="12"/>
        <color theme="1"/>
        <rFont val="Times New Roman"/>
        <family val="1"/>
      </rPr>
      <t>Detailed process parameters during the continous DD tests, including the inlet/outlet flows and detailed chemical compositions of all streams at different flow intensities.</t>
    </r>
    <phoneticPr fontId="1" type="noConversion"/>
  </si>
  <si>
    <t>Volume expansion</t>
    <phoneticPr fontId="1" type="noConversion"/>
  </si>
  <si>
    <t>Capital cost</t>
    <phoneticPr fontId="1" type="noConversion"/>
  </si>
  <si>
    <t>Total cost</t>
    <phoneticPr fontId="1" type="noConversion"/>
  </si>
  <si>
    <t>Target flow intensity</t>
    <phoneticPr fontId="1" type="noConversion"/>
  </si>
  <si>
    <t>Target inlet flow
/LPH (liter per hour)</t>
    <phoneticPr fontId="1" type="noConversion"/>
  </si>
  <si>
    <r>
      <t>Target flow intensity
L/(h*m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1" type="noConversion"/>
  </si>
  <si>
    <r>
      <t>[Zn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 /M</t>
    </r>
    <phoneticPr fontId="1" type="noConversion"/>
  </si>
  <si>
    <r>
      <t>[Mn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 /M</t>
    </r>
    <phoneticPr fontId="1" type="noConversion"/>
  </si>
  <si>
    <r>
      <t>[Mg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 /M</t>
    </r>
    <phoneticPr fontId="1" type="noConversion"/>
  </si>
  <si>
    <r>
      <t>[Na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 /M</t>
    </r>
    <phoneticPr fontId="1" type="noConversion"/>
  </si>
  <si>
    <r>
      <t>[K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 /M</t>
    </r>
    <phoneticPr fontId="1" type="noConversion"/>
  </si>
  <si>
    <r>
      <t>[H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 /M</t>
    </r>
    <phoneticPr fontId="1" type="noConversion"/>
  </si>
  <si>
    <r>
      <t>[SO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>] /M</t>
    </r>
    <phoneticPr fontId="1" type="noConversion"/>
  </si>
  <si>
    <r>
      <t>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/M</t>
    </r>
    <phoneticPr fontId="1" type="noConversion"/>
  </si>
  <si>
    <r>
      <t>[F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/M</t>
    </r>
    <phoneticPr fontId="1" type="noConversion"/>
  </si>
  <si>
    <r>
      <t>[Mn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 /M</t>
    </r>
    <phoneticPr fontId="1" type="noConversion"/>
  </si>
  <si>
    <r>
      <t>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/M</t>
    </r>
    <phoneticPr fontId="1" type="noConversion"/>
  </si>
  <si>
    <r>
      <t>Recovered acid side (Dilute H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SO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effluent)</t>
    </r>
    <phoneticPr fontId="1" type="noConversion"/>
  </si>
  <si>
    <r>
      <t>[SO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>] /M</t>
    </r>
    <phoneticPr fontId="1" type="noConversion"/>
  </si>
  <si>
    <r>
      <t>[F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/M</t>
    </r>
    <phoneticPr fontId="1" type="noConversion"/>
  </si>
  <si>
    <r>
      <t>Flow Intensity L/(h*m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phoneticPr fontId="12" type="noConversion"/>
  </si>
  <si>
    <r>
      <t>[Zn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</t>
    </r>
    <phoneticPr fontId="13" type="noConversion"/>
  </si>
  <si>
    <r>
      <t>[Mn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</t>
    </r>
    <phoneticPr fontId="13" type="noConversion"/>
  </si>
  <si>
    <r>
      <t>[Mg</t>
    </r>
    <r>
      <rPr>
        <vertAlign val="superscript"/>
        <sz val="11"/>
        <color theme="1"/>
        <rFont val="Times New Roman"/>
        <family val="1"/>
      </rPr>
      <t>2+</t>
    </r>
    <r>
      <rPr>
        <sz val="11"/>
        <color theme="1"/>
        <rFont val="Times New Roman"/>
        <family val="1"/>
      </rPr>
      <t>]</t>
    </r>
    <phoneticPr fontId="13" type="noConversion"/>
  </si>
  <si>
    <r>
      <t>[Na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</t>
    </r>
    <phoneticPr fontId="13" type="noConversion"/>
  </si>
  <si>
    <r>
      <t>[K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</t>
    </r>
    <phoneticPr fontId="13" type="noConversion"/>
  </si>
  <si>
    <r>
      <t>[H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>]</t>
    </r>
    <phoneticPr fontId="13" type="noConversion"/>
  </si>
  <si>
    <r>
      <t>[SO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>]</t>
    </r>
    <phoneticPr fontId="13" type="noConversion"/>
  </si>
  <si>
    <r>
      <t>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</t>
    </r>
    <phoneticPr fontId="13" type="noConversion"/>
  </si>
  <si>
    <r>
      <t>[F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</t>
    </r>
    <phoneticPr fontId="13" type="noConversion"/>
  </si>
  <si>
    <r>
      <t>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in spent electrolyte</t>
    </r>
    <phoneticPr fontId="1" type="noConversion"/>
  </si>
  <si>
    <r>
      <t>[SO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>] in spent electrolyte</t>
    </r>
    <phoneticPr fontId="1" type="noConversion"/>
  </si>
  <si>
    <r>
      <t>Discharge of spent electrolyte to maintain 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level</t>
    </r>
    <phoneticPr fontId="1" type="noConversion"/>
  </si>
  <si>
    <r>
      <t>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/day</t>
    </r>
    <phoneticPr fontId="1" type="noConversion"/>
  </si>
  <si>
    <r>
      <t>L/(h*m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1" type="noConversion"/>
  </si>
  <si>
    <r>
      <t>m</t>
    </r>
    <r>
      <rPr>
        <vertAlign val="superscript"/>
        <sz val="11"/>
        <color theme="1"/>
        <rFont val="Times New Roman"/>
        <family val="1"/>
      </rPr>
      <t>2</t>
    </r>
    <phoneticPr fontId="1" type="noConversion"/>
  </si>
  <si>
    <r>
      <t>Corresponding outlet flow intensity of dilute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effluent</t>
    </r>
    <phoneticPr fontId="1" type="noConversion"/>
  </si>
  <si>
    <r>
      <t>[Cl</t>
    </r>
    <r>
      <rPr>
        <vertAlign val="superscript"/>
        <sz val="11"/>
        <color theme="1"/>
        <rFont val="Times New Roman"/>
        <family val="1"/>
      </rPr>
      <t>-</t>
    </r>
    <r>
      <rPr>
        <sz val="11"/>
        <color theme="1"/>
        <rFont val="Times New Roman"/>
        <family val="1"/>
      </rPr>
      <t>] in dilute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effulent</t>
    </r>
    <phoneticPr fontId="1" type="noConversion"/>
  </si>
  <si>
    <r>
      <t>g/(h*m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1" type="noConversion"/>
  </si>
  <si>
    <r>
      <t>ρ=1.84 t/m</t>
    </r>
    <r>
      <rPr>
        <i/>
        <vertAlign val="superscript"/>
        <sz val="11"/>
        <color theme="1"/>
        <rFont val="Times New Roman"/>
        <family val="1"/>
      </rPr>
      <t>3</t>
    </r>
    <phoneticPr fontId="1" type="noConversion"/>
  </si>
  <si>
    <r>
      <t>$/m</t>
    </r>
    <r>
      <rPr>
        <vertAlign val="superscript"/>
        <sz val="11"/>
        <color theme="1"/>
        <rFont val="Times New Roman"/>
        <family val="1"/>
      </rPr>
      <t>2</t>
    </r>
    <phoneticPr fontId="1" type="noConversion"/>
  </si>
  <si>
    <r>
      <t xml:space="preserve">Water osmosis + </t>
    </r>
    <r>
      <rPr>
        <sz val="11"/>
        <color theme="1"/>
        <rFont val="Times New Roman"/>
        <family val="1"/>
      </rP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makeup</t>
    </r>
    <phoneticPr fontId="1" type="noConversion"/>
  </si>
  <si>
    <r>
      <t xml:space="preserve">Calculated as 98% </t>
    </r>
    <r>
      <rPr>
        <sz val="11"/>
        <color theme="1"/>
        <rFont val="Times New Roman"/>
        <family val="1"/>
      </rP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phoneticPr fontId="1" type="noConversion"/>
  </si>
  <si>
    <r>
      <t>$/m</t>
    </r>
    <r>
      <rPr>
        <vertAlign val="superscript"/>
        <sz val="11"/>
        <color theme="1"/>
        <rFont val="Times New Roman"/>
        <family val="1"/>
      </rPr>
      <t>3</t>
    </r>
    <phoneticPr fontId="1" type="noConversion"/>
  </si>
  <si>
    <t>Effluent disposal cost</t>
    <phoneticPr fontId="1" type="noConversion"/>
  </si>
  <si>
    <r>
      <t>H</t>
    </r>
    <r>
      <rPr>
        <sz val="11"/>
        <color theme="1"/>
        <rFont val="Arial Unicode MS"/>
        <family val="2"/>
        <charset val="134"/>
      </rPr>
      <t>₂</t>
    </r>
    <r>
      <rPr>
        <sz val="11"/>
        <color theme="1"/>
        <rFont val="Times New Roman"/>
        <family val="1"/>
      </rPr>
      <t>SO</t>
    </r>
    <r>
      <rPr>
        <sz val="11"/>
        <color theme="1"/>
        <rFont val="Arial Unicode MS"/>
        <family val="2"/>
        <charset val="134"/>
      </rPr>
      <t>₄</t>
    </r>
    <r>
      <rPr>
        <sz val="11"/>
        <color theme="1"/>
        <rFont val="Times New Roman"/>
        <family val="1"/>
      </rPr>
      <t xml:space="preserve"> makeup cost</t>
    </r>
    <phoneticPr fontId="1" type="noConversion"/>
  </si>
  <si>
    <r>
      <t>Outlet flow rate of dilute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effluent</t>
    </r>
    <phoneticPr fontId="1" type="noConversion"/>
  </si>
  <si>
    <r>
      <t>Disposal price of dilute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effluent</t>
    </r>
    <phoneticPr fontId="1" type="noConversion"/>
  </si>
  <si>
    <r>
      <t>Disposal cost of dilute H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SO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effluent</t>
    </r>
    <phoneticPr fontId="1" type="noConversion"/>
  </si>
  <si>
    <r>
      <t>Chemical cost for H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SO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makeup</t>
    </r>
    <phoneticPr fontId="1" type="noConversion"/>
  </si>
  <si>
    <r>
      <t>Price of 98%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in zinc plant</t>
    </r>
    <phoneticPr fontId="1" type="noConversion"/>
  </si>
  <si>
    <t>Price in zinc plant as main byproduct</t>
    <phoneticPr fontId="1" type="noConversion"/>
  </si>
  <si>
    <r>
      <t>Total [SO</t>
    </r>
    <r>
      <rPr>
        <vertAlign val="subscript"/>
        <sz val="11"/>
        <color theme="1"/>
        <rFont val="Times New Roman"/>
        <family val="1"/>
      </rPr>
      <t>4</t>
    </r>
    <r>
      <rPr>
        <vertAlign val="superscript"/>
        <sz val="11"/>
        <color theme="1"/>
        <rFont val="Times New Roman"/>
        <family val="1"/>
      </rPr>
      <t>2-</t>
    </r>
    <r>
      <rPr>
        <sz val="11"/>
        <color theme="1"/>
        <rFont val="Times New Roman"/>
        <family val="1"/>
      </rPr>
      <t>] in dilute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effulent</t>
    </r>
    <phoneticPr fontId="1" type="noConversion"/>
  </si>
  <si>
    <t>Results of cost estimation from the left procedure:</t>
    <phoneticPr fontId="1" type="noConversion"/>
  </si>
  <si>
    <r>
      <rPr>
        <b/>
        <sz val="12"/>
        <color theme="1"/>
        <rFont val="Times New Roman"/>
        <family val="1"/>
      </rPr>
      <t>Table S2.</t>
    </r>
    <r>
      <rPr>
        <sz val="12"/>
        <color theme="1"/>
        <rFont val="Times New Roman"/>
        <family val="1"/>
      </rPr>
      <t xml:space="preserve"> Overall dialysis coefficients in continuous DD tests acoording to Equation 1 and 4. The dialysis coefficients here are only make sense at high flow intesities, especially for the H</t>
    </r>
    <r>
      <rPr>
        <vertAlign val="superscript"/>
        <sz val="12"/>
        <color theme="1"/>
        <rFont val="Times New Roman"/>
        <family val="1"/>
      </rPr>
      <t>+</t>
    </r>
    <r>
      <rPr>
        <sz val="12"/>
        <color theme="1"/>
        <rFont val="Times New Roman"/>
        <family val="1"/>
      </rPr>
      <t xml:space="preserve"> and Cl</t>
    </r>
    <r>
      <rPr>
        <vertAlign val="superscript"/>
        <sz val="12"/>
        <color theme="1"/>
        <rFont val="Times New Roman"/>
        <family val="1"/>
      </rPr>
      <t>-</t>
    </r>
    <r>
      <rPr>
        <sz val="12"/>
        <color theme="1"/>
        <rFont val="Times New Roman"/>
        <family val="1"/>
      </rPr>
      <t xml:space="preserve"> ions. The "</t>
    </r>
    <r>
      <rPr>
        <sz val="12"/>
        <color rgb="FFFF0000"/>
        <rFont val="Times New Roman"/>
        <family val="1"/>
      </rPr>
      <t>#NUM!</t>
    </r>
    <r>
      <rPr>
        <sz val="12"/>
        <color theme="1"/>
        <rFont val="Times New Roman"/>
        <family val="1"/>
      </rPr>
      <t>" here means that the right equation is invalid because C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theme="1"/>
        <rFont val="宋体"/>
        <family val="3"/>
        <charset val="134"/>
      </rPr>
      <t>≥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f</t>
    </r>
    <r>
      <rPr>
        <vertAlign val="super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(see section 3.4.3 in main text).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</si>
</sst>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_ "/>
    <numFmt numFmtId="177" formatCode="0.00_ "/>
    <numFmt numFmtId="178" formatCode="0.0%"/>
    <numFmt numFmtId="179" formatCode="0.0_ "/>
    <numFmt numFmtId="180" formatCode="0_ "/>
    <numFmt numFmtId="181" formatCode="0.0_);[Red]\(0.0\)"/>
    <numFmt numFmtId="182" formatCode="0.000_);[Red]\(0.000\)"/>
    <numFmt numFmtId="183" formatCode="0.00_);[Red]\(0.00\)"/>
  </numFmts>
  <fonts count="2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vertAlign val="superscript"/>
      <sz val="11"/>
      <name val="Times New Roman"/>
      <family val="1"/>
    </font>
    <font>
      <i/>
      <vertAlign val="superscript"/>
      <sz val="11"/>
      <color theme="1"/>
      <name val="Times New Roman"/>
      <family val="1"/>
    </font>
    <font>
      <sz val="11"/>
      <color theme="1"/>
      <name val="Arial Unicode MS"/>
      <family val="2"/>
      <charset val="134"/>
    </font>
    <font>
      <sz val="12"/>
      <color rgb="FFFF0000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</cellStyleXfs>
  <cellXfs count="1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3" xfId="0" applyFont="1" applyBorder="1">
      <alignment vertical="center"/>
    </xf>
    <xf numFmtId="180" fontId="3" fillId="0" borderId="0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180" fontId="4" fillId="0" borderId="0" xfId="0" applyNumberFormat="1" applyFont="1" applyBorder="1">
      <alignment vertical="center"/>
    </xf>
    <xf numFmtId="0" fontId="3" fillId="2" borderId="1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3" xfId="0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1" fontId="5" fillId="0" borderId="0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3" fillId="2" borderId="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3" fillId="0" borderId="12" xfId="0" applyFont="1" applyBorder="1">
      <alignment vertical="center"/>
    </xf>
    <xf numFmtId="179" fontId="5" fillId="0" borderId="0" xfId="0" applyNumberFormat="1" applyFont="1" applyBorder="1">
      <alignment vertical="center"/>
    </xf>
    <xf numFmtId="0" fontId="3" fillId="0" borderId="14" xfId="0" applyFont="1" applyBorder="1">
      <alignment vertical="center"/>
    </xf>
    <xf numFmtId="179" fontId="5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>
      <alignment vertical="center"/>
    </xf>
    <xf numFmtId="177" fontId="8" fillId="3" borderId="0" xfId="0" applyNumberFormat="1" applyFont="1" applyFill="1" applyBorder="1">
      <alignment vertical="center"/>
    </xf>
    <xf numFmtId="0" fontId="9" fillId="3" borderId="3" xfId="0" applyFont="1" applyFill="1" applyBorder="1">
      <alignment vertical="center"/>
    </xf>
    <xf numFmtId="179" fontId="2" fillId="0" borderId="0" xfId="0" applyNumberFormat="1" applyFont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/>
    </xf>
    <xf numFmtId="11" fontId="2" fillId="0" borderId="10" xfId="0" applyNumberFormat="1" applyFont="1" applyBorder="1" applyAlignment="1">
      <alignment horizontal="center" vertical="center"/>
    </xf>
    <xf numFmtId="11" fontId="2" fillId="0" borderId="3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78" fontId="2" fillId="0" borderId="0" xfId="1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78" fontId="2" fillId="0" borderId="0" xfId="0" applyNumberFormat="1" applyFont="1" applyAlignment="1"/>
    <xf numFmtId="0" fontId="2" fillId="0" borderId="0" xfId="0" applyFont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83" fontId="2" fillId="0" borderId="12" xfId="0" applyNumberFormat="1" applyFont="1" applyBorder="1" applyAlignment="1">
      <alignment horizontal="left"/>
    </xf>
    <xf numFmtId="11" fontId="2" fillId="0" borderId="0" xfId="0" applyNumberFormat="1" applyFont="1" applyBorder="1" applyAlignment="1">
      <alignment horizontal="center"/>
    </xf>
    <xf numFmtId="11" fontId="2" fillId="0" borderId="3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83" fontId="2" fillId="0" borderId="0" xfId="0" applyNumberFormat="1" applyFont="1" applyAlignment="1">
      <alignment horizontal="center"/>
    </xf>
    <xf numFmtId="11" fontId="2" fillId="0" borderId="0" xfId="1" applyNumberFormat="1" applyFont="1" applyAlignment="1">
      <alignment horizontal="center"/>
    </xf>
    <xf numFmtId="11" fontId="2" fillId="0" borderId="0" xfId="0" applyNumberFormat="1" applyFont="1" applyAlignment="1">
      <alignment horizontal="center"/>
    </xf>
    <xf numFmtId="11" fontId="2" fillId="0" borderId="0" xfId="0" applyNumberFormat="1" applyFont="1" applyAlignment="1"/>
    <xf numFmtId="183" fontId="2" fillId="0" borderId="0" xfId="0" applyNumberFormat="1" applyFont="1" applyAlignment="1"/>
    <xf numFmtId="183" fontId="2" fillId="0" borderId="0" xfId="1" applyNumberFormat="1" applyFont="1" applyBorder="1" applyAlignment="1">
      <alignment horizontal="center"/>
    </xf>
    <xf numFmtId="11" fontId="2" fillId="0" borderId="0" xfId="1" applyNumberFormat="1" applyFont="1" applyBorder="1" applyAlignment="1">
      <alignment horizontal="center"/>
    </xf>
    <xf numFmtId="183" fontId="2" fillId="0" borderId="14" xfId="0" applyNumberFormat="1" applyFont="1" applyBorder="1" applyAlignment="1">
      <alignment horizontal="left"/>
    </xf>
    <xf numFmtId="11" fontId="2" fillId="0" borderId="1" xfId="0" applyNumberFormat="1" applyFont="1" applyBorder="1" applyAlignment="1">
      <alignment horizontal="center"/>
    </xf>
    <xf numFmtId="11" fontId="2" fillId="0" borderId="2" xfId="0" applyNumberFormat="1" applyFont="1" applyFill="1" applyBorder="1" applyAlignment="1">
      <alignment horizontal="center"/>
    </xf>
    <xf numFmtId="182" fontId="2" fillId="3" borderId="14" xfId="0" applyNumberFormat="1" applyFont="1" applyFill="1" applyBorder="1" applyAlignment="1">
      <alignment horizontal="center"/>
    </xf>
    <xf numFmtId="11" fontId="2" fillId="0" borderId="5" xfId="0" applyNumberFormat="1" applyFont="1" applyBorder="1" applyAlignment="1">
      <alignment horizontal="center" vertical="center"/>
    </xf>
    <xf numFmtId="181" fontId="2" fillId="0" borderId="12" xfId="0" applyNumberFormat="1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81" fontId="2" fillId="0" borderId="14" xfId="0" applyNumberFormat="1" applyFont="1" applyBorder="1" applyAlignment="1">
      <alignment horizontal="left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1" fontId="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82" fontId="14" fillId="2" borderId="6" xfId="2" applyNumberFormat="1" applyFont="1" applyFill="1" applyBorder="1" applyAlignment="1">
      <alignment horizontal="left" vertical="center" wrapText="1"/>
    </xf>
    <xf numFmtId="182" fontId="14" fillId="2" borderId="8" xfId="0" applyNumberFormat="1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Pump</a:t>
            </a:r>
            <a:r>
              <a:rPr lang="en-US" altLang="zh-CN" baseline="0"/>
              <a:t> calibration</a:t>
            </a:r>
            <a:endParaRPr lang="zh-CN" altLang="en-US"/>
          </a:p>
        </c:rich>
      </c:tx>
      <c:layout>
        <c:manualLayout>
          <c:xMode val="edge"/>
          <c:yMode val="edge"/>
          <c:x val="0.42013386440827399"/>
          <c:y val="2.78853164516012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4973753280841"/>
          <c:y val="0.14541449838689446"/>
          <c:w val="0.66604089087646456"/>
          <c:h val="0.64043418190629975"/>
        </c:manualLayout>
      </c:layout>
      <c:scatterChart>
        <c:scatterStyle val="lineMarker"/>
        <c:varyColors val="0"/>
        <c:ser>
          <c:idx val="0"/>
          <c:order val="0"/>
          <c:tx>
            <c:v>Inlet flow rate of feed</c:v>
          </c:tx>
          <c:spPr>
            <a:ln w="28575">
              <a:noFill/>
            </a:ln>
          </c:spPr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3.6560447812660442E-2"/>
                  <c:y val="0.41836755460507458"/>
                </c:manualLayout>
              </c:layout>
              <c:numFmt formatCode="0.0000E+00" sourceLinked="0"/>
            </c:trendlineLbl>
          </c:trendline>
          <c:xVal>
            <c:numRef>
              <c:f>ProcessModel!$B$5:$B$13</c:f>
              <c:numCache>
                <c:formatCode>0.00_ </c:formatCode>
                <c:ptCount val="9"/>
                <c:pt idx="0">
                  <c:v>0.4</c:v>
                </c:pt>
                <c:pt idx="1">
                  <c:v>0.8</c:v>
                </c:pt>
                <c:pt idx="2">
                  <c:v>1.2</c:v>
                </c:pt>
                <c:pt idx="3">
                  <c:v>2</c:v>
                </c:pt>
                <c:pt idx="4">
                  <c:v>2.8</c:v>
                </c:pt>
                <c:pt idx="5">
                  <c:v>3.6</c:v>
                </c:pt>
                <c:pt idx="6">
                  <c:v>4.4000000000000004</c:v>
                </c:pt>
                <c:pt idx="7">
                  <c:v>5.2</c:v>
                </c:pt>
                <c:pt idx="8">
                  <c:v>6</c:v>
                </c:pt>
              </c:numCache>
            </c:numRef>
          </c:xVal>
          <c:yVal>
            <c:numRef>
              <c:f>ProcessModel!$D$5:$D$13</c:f>
              <c:numCache>
                <c:formatCode>0.000_ </c:formatCode>
                <c:ptCount val="9"/>
                <c:pt idx="0">
                  <c:v>0.38966898043680992</c:v>
                </c:pt>
                <c:pt idx="1">
                  <c:v>0.79783946754086099</c:v>
                </c:pt>
                <c:pt idx="2">
                  <c:v>1.185507183559587</c:v>
                </c:pt>
                <c:pt idx="3">
                  <c:v>1.9545040529892415</c:v>
                </c:pt>
                <c:pt idx="4">
                  <c:v>2.696291671410735</c:v>
                </c:pt>
                <c:pt idx="5">
                  <c:v>3.4409205585225497</c:v>
                </c:pt>
                <c:pt idx="6">
                  <c:v>4.2322772658147763</c:v>
                </c:pt>
                <c:pt idx="7">
                  <c:v>4.8878815023010285</c:v>
                </c:pt>
                <c:pt idx="8">
                  <c:v>5.5341718988646385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7-4DCA-BFAB-0D57217D78C5}"/>
            </c:ext>
          </c:extLst>
        </c:ser>
        <c:ser>
          <c:idx val="1"/>
          <c:order val="1"/>
          <c:tx>
            <c:v>Inlet flow rate of water</c:v>
          </c:tx>
          <c:spPr>
            <a:ln w="28575">
              <a:noFill/>
            </a:ln>
          </c:spPr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16063995678194037"/>
                  <c:y val="8.8781686545926941E-2"/>
                </c:manualLayout>
              </c:layout>
              <c:numFmt formatCode="0.0000E+00" sourceLinked="0"/>
            </c:trendlineLbl>
          </c:trendline>
          <c:xVal>
            <c:numRef>
              <c:f>ProcessModel!$B$5:$B$13</c:f>
              <c:numCache>
                <c:formatCode>0.00_ </c:formatCode>
                <c:ptCount val="9"/>
                <c:pt idx="0">
                  <c:v>0.4</c:v>
                </c:pt>
                <c:pt idx="1">
                  <c:v>0.8</c:v>
                </c:pt>
                <c:pt idx="2">
                  <c:v>1.2</c:v>
                </c:pt>
                <c:pt idx="3">
                  <c:v>2</c:v>
                </c:pt>
                <c:pt idx="4">
                  <c:v>2.8</c:v>
                </c:pt>
                <c:pt idx="5">
                  <c:v>3.6</c:v>
                </c:pt>
                <c:pt idx="6">
                  <c:v>4.4000000000000004</c:v>
                </c:pt>
                <c:pt idx="7">
                  <c:v>5.2</c:v>
                </c:pt>
                <c:pt idx="8">
                  <c:v>6</c:v>
                </c:pt>
              </c:numCache>
            </c:numRef>
          </c:xVal>
          <c:yVal>
            <c:numRef>
              <c:f>ProcessModel!$P$5:$P$13</c:f>
              <c:numCache>
                <c:formatCode>0.000_ </c:formatCode>
                <c:ptCount val="9"/>
                <c:pt idx="0">
                  <c:v>0.39054165758579806</c:v>
                </c:pt>
                <c:pt idx="1">
                  <c:v>0.81621520230253797</c:v>
                </c:pt>
                <c:pt idx="2">
                  <c:v>1.2268840708702542</c:v>
                </c:pt>
                <c:pt idx="3">
                  <c:v>2.0528032893928994</c:v>
                </c:pt>
                <c:pt idx="4">
                  <c:v>2.8592734408393863</c:v>
                </c:pt>
                <c:pt idx="5">
                  <c:v>3.6758519922802302</c:v>
                </c:pt>
                <c:pt idx="6">
                  <c:v>4.5497579499806946</c:v>
                </c:pt>
                <c:pt idx="7">
                  <c:v>5.2777069619232728</c:v>
                </c:pt>
                <c:pt idx="8">
                  <c:v>5.9983462417282416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07-4DCA-BFAB-0D57217D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84352"/>
        <c:axId val="186102912"/>
      </c:scatterChart>
      <c:valAx>
        <c:axId val="186084352"/>
        <c:scaling>
          <c:orientation val="minMax"/>
          <c:max val="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Target</a:t>
                </a:r>
                <a:r>
                  <a:rPr lang="en-US" altLang="zh-CN" sz="1200" baseline="0"/>
                  <a:t>  inlet flow rate (LPH)</a:t>
                </a:r>
                <a:endParaRPr lang="zh-CN" altLang="en-US" sz="1200"/>
              </a:p>
            </c:rich>
          </c:tx>
          <c:layout/>
          <c:overlay val="0"/>
        </c:title>
        <c:numFmt formatCode="0.00_ " sourceLinked="1"/>
        <c:majorTickMark val="none"/>
        <c:minorTickMark val="none"/>
        <c:tickLblPos val="nextTo"/>
        <c:crossAx val="186102912"/>
        <c:crosses val="autoZero"/>
        <c:crossBetween val="midCat"/>
        <c:majorUnit val="1"/>
      </c:valAx>
      <c:valAx>
        <c:axId val="18610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Actual </a:t>
                </a:r>
                <a:r>
                  <a:rPr lang="en-US" altLang="zh-CN" sz="1200" baseline="0"/>
                  <a:t>flow rate (LPH)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2.8046959747920819E-2"/>
              <c:y val="0.27644241232972044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186084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0866583397828"/>
          <c:y val="0.31481337012395638"/>
          <c:w val="0.26363532631591624"/>
          <c:h val="0.388346880408618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[SO</a:t>
            </a:r>
            <a:r>
              <a:rPr lang="en-US" altLang="en-US" baseline="-25000"/>
              <a:t>4</a:t>
            </a:r>
            <a:r>
              <a:rPr lang="en-US" altLang="en-US" baseline="30000"/>
              <a:t>2-</a:t>
            </a:r>
            <a:r>
              <a:rPr lang="en-US" altLang="en-US"/>
              <a:t>]</a:t>
            </a:r>
            <a:r>
              <a:rPr lang="en-US" altLang="en-US" baseline="0"/>
              <a:t> in H</a:t>
            </a:r>
            <a:r>
              <a:rPr lang="en-US" altLang="en-US" baseline="-25000"/>
              <a:t>2</a:t>
            </a:r>
            <a:r>
              <a:rPr lang="en-US" altLang="en-US" baseline="0"/>
              <a:t>SO</a:t>
            </a:r>
            <a:r>
              <a:rPr lang="en-US" altLang="en-US" baseline="-25000"/>
              <a:t>4</a:t>
            </a:r>
            <a:r>
              <a:rPr lang="en-US" altLang="en-US" baseline="0"/>
              <a:t> effluent</a:t>
            </a:r>
            <a:endParaRPr lang="en-US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056049649990224"/>
          <c:y val="0.16018101202230609"/>
          <c:w val="0.76873025150908669"/>
          <c:h val="0.6607025741187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ProcessModel!$Y$4</c:f>
              <c:strCache>
                <c:ptCount val="1"/>
                <c:pt idx="0">
                  <c:v>[SO42-] /M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0.12964605788865724"/>
                  <c:y val="7.2152420827473251E-2"/>
                </c:manualLayout>
              </c:layout>
              <c:numFmt formatCode="0.0000E+00" sourceLinked="0"/>
            </c:trendlineLbl>
          </c:trendline>
          <c:xVal>
            <c:numRef>
              <c:f>ProcessModel!$C$5:$C$13</c:f>
              <c:numCache>
                <c:formatCode>0.00_ 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ProcessModel!$Y$5:$Y$13</c:f>
              <c:numCache>
                <c:formatCode>0.000_ </c:formatCode>
                <c:ptCount val="9"/>
                <c:pt idx="0">
                  <c:v>1.7603810841576388</c:v>
                </c:pt>
                <c:pt idx="1">
                  <c:v>1.3927956575796829</c:v>
                </c:pt>
                <c:pt idx="2">
                  <c:v>1.1348464220737164</c:v>
                </c:pt>
                <c:pt idx="3">
                  <c:v>0.86488136370996227</c:v>
                </c:pt>
                <c:pt idx="4">
                  <c:v>0.71352849740932633</c:v>
                </c:pt>
                <c:pt idx="5">
                  <c:v>0.60518256940355619</c:v>
                </c:pt>
                <c:pt idx="6">
                  <c:v>0.5335673486320458</c:v>
                </c:pt>
                <c:pt idx="7">
                  <c:v>0.47118706988930753</c:v>
                </c:pt>
                <c:pt idx="8">
                  <c:v>0.43707637119249487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F-4948-BE15-38DAD571F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70816"/>
        <c:axId val="187589376"/>
      </c:scatterChart>
      <c:valAx>
        <c:axId val="1875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Flow intensity (L h</a:t>
                </a:r>
                <a:r>
                  <a:rPr lang="en-US" altLang="zh-CN" sz="1200" baseline="30000"/>
                  <a:t>-1</a:t>
                </a:r>
                <a:r>
                  <a:rPr lang="en-US" altLang="zh-CN" sz="1200" baseline="0"/>
                  <a:t> m</a:t>
                </a:r>
                <a:r>
                  <a:rPr lang="en-US" altLang="zh-CN" sz="1200" baseline="30000"/>
                  <a:t>-2</a:t>
                </a:r>
                <a:r>
                  <a:rPr lang="en-US" altLang="zh-CN" sz="1200" baseline="0"/>
                  <a:t>)</a:t>
                </a:r>
                <a:endParaRPr lang="zh-CN" altLang="en-US" sz="1200"/>
              </a:p>
            </c:rich>
          </c:tx>
          <c:layout/>
          <c:overlay val="0"/>
        </c:title>
        <c:numFmt formatCode="0.00_ " sourceLinked="1"/>
        <c:majorTickMark val="none"/>
        <c:minorTickMark val="none"/>
        <c:tickLblPos val="nextTo"/>
        <c:crossAx val="187589376"/>
        <c:crosses val="autoZero"/>
        <c:crossBetween val="midCat"/>
      </c:valAx>
      <c:valAx>
        <c:axId val="187589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[SO</a:t>
                </a:r>
                <a:r>
                  <a:rPr lang="en-US" altLang="zh-CN" sz="1200" baseline="-25000"/>
                  <a:t>4</a:t>
                </a:r>
                <a:r>
                  <a:rPr lang="en-US" altLang="zh-CN" sz="1200" baseline="30000"/>
                  <a:t>2-</a:t>
                </a:r>
                <a:r>
                  <a:rPr lang="en-US" altLang="zh-CN" sz="1200"/>
                  <a:t>] (mol/L)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3.1068385842025342E-2"/>
              <c:y val="0.37938160049473774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187570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03373258633226"/>
          <c:y val="0.18525975590893887"/>
          <c:w val="0.28257607425432796"/>
          <c:h val="0.130176451549088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[Cl</a:t>
            </a:r>
            <a:r>
              <a:rPr lang="en-US" altLang="en-US" baseline="30000"/>
              <a:t>-</a:t>
            </a:r>
            <a:r>
              <a:rPr lang="en-US" altLang="en-US"/>
              <a:t>]</a:t>
            </a:r>
            <a:r>
              <a:rPr lang="en-US" altLang="en-US" baseline="0"/>
              <a:t> in H</a:t>
            </a:r>
            <a:r>
              <a:rPr lang="en-US" altLang="en-US" baseline="-25000"/>
              <a:t>2</a:t>
            </a:r>
            <a:r>
              <a:rPr lang="en-US" altLang="en-US" baseline="0"/>
              <a:t>SO</a:t>
            </a:r>
            <a:r>
              <a:rPr lang="en-US" altLang="en-US" baseline="-25000"/>
              <a:t>4</a:t>
            </a:r>
            <a:r>
              <a:rPr lang="en-US" altLang="en-US" baseline="0"/>
              <a:t> effluent</a:t>
            </a:r>
            <a:endParaRPr lang="en-US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653929546999247"/>
          <c:y val="0.16075471402967187"/>
          <c:w val="0.74058649672354693"/>
          <c:h val="0.6594873513413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ProcessModel!$Z$4</c:f>
              <c:strCache>
                <c:ptCount val="1"/>
                <c:pt idx="0">
                  <c:v>[Cl-] /M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0.12088926638130017"/>
                  <c:y val="9.5643601534270165E-2"/>
                </c:manualLayout>
              </c:layout>
              <c:numFmt formatCode="0.0000E+00" sourceLinked="0"/>
            </c:trendlineLbl>
          </c:trendline>
          <c:xVal>
            <c:numRef>
              <c:f>ProcessModel!$C$5:$C$13</c:f>
              <c:numCache>
                <c:formatCode>0.00_ 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ProcessModel!$Z$5:$Z$13</c:f>
              <c:numCache>
                <c:formatCode>0.00E+00</c:formatCode>
                <c:ptCount val="9"/>
                <c:pt idx="0">
                  <c:v>1.5273120865904991E-2</c:v>
                </c:pt>
                <c:pt idx="1">
                  <c:v>1.3280577269993987E-2</c:v>
                </c:pt>
                <c:pt idx="2">
                  <c:v>1.1123511725796755E-2</c:v>
                </c:pt>
                <c:pt idx="3">
                  <c:v>8.7745039085989178E-3</c:v>
                </c:pt>
                <c:pt idx="4">
                  <c:v>7.3212266987372219E-3</c:v>
                </c:pt>
                <c:pt idx="5">
                  <c:v>6.2975345760673479E-3</c:v>
                </c:pt>
                <c:pt idx="6">
                  <c:v>5.5754660252555618E-3</c:v>
                </c:pt>
                <c:pt idx="7">
                  <c:v>5.0819001803968731E-3</c:v>
                </c:pt>
                <c:pt idx="8">
                  <c:v>4.6340348767288028E-3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3C-4627-A412-4F7E01B4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23680"/>
        <c:axId val="187629952"/>
      </c:scatterChart>
      <c:valAx>
        <c:axId val="18762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en-US" sz="1200"/>
                  <a:t>Flow intensity (L h</a:t>
                </a:r>
                <a:r>
                  <a:rPr lang="en-US" altLang="en-US" sz="1200" baseline="30000"/>
                  <a:t>-1</a:t>
                </a:r>
                <a:r>
                  <a:rPr lang="en-US" altLang="en-US" sz="1200"/>
                  <a:t> m</a:t>
                </a:r>
                <a:r>
                  <a:rPr lang="en-US" altLang="en-US" sz="1200" baseline="30000"/>
                  <a:t>-2</a:t>
                </a:r>
                <a:r>
                  <a:rPr lang="en-US" altLang="en-US" sz="1200"/>
                  <a:t>)</a:t>
                </a:r>
              </a:p>
            </c:rich>
          </c:tx>
          <c:layout/>
          <c:overlay val="0"/>
        </c:title>
        <c:numFmt formatCode="0.00_ " sourceLinked="1"/>
        <c:majorTickMark val="none"/>
        <c:minorTickMark val="none"/>
        <c:tickLblPos val="nextTo"/>
        <c:crossAx val="187629952"/>
        <c:crosses val="autoZero"/>
        <c:crossBetween val="midCat"/>
      </c:valAx>
      <c:valAx>
        <c:axId val="187629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[Cl</a:t>
                </a:r>
                <a:r>
                  <a:rPr lang="en-US" altLang="zh-CN" sz="1200" baseline="30000"/>
                  <a:t>-</a:t>
                </a:r>
                <a:r>
                  <a:rPr lang="en-US" altLang="zh-CN" sz="1200"/>
                  <a:t>]</a:t>
                </a:r>
                <a:r>
                  <a:rPr lang="en-US" altLang="zh-CN" sz="1200" baseline="0"/>
                  <a:t> (mol/L)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3.8883469671486252E-2"/>
              <c:y val="0.3802477316489879"/>
            </c:manualLayout>
          </c:layout>
          <c:overlay val="0"/>
        </c:title>
        <c:numFmt formatCode="0.00E+00" sourceLinked="1"/>
        <c:majorTickMark val="none"/>
        <c:minorTickMark val="none"/>
        <c:tickLblPos val="nextTo"/>
        <c:crossAx val="187623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430868003779969"/>
          <c:y val="0.17680837584448231"/>
          <c:w val="0.24708590356288201"/>
          <c:h val="0.130176451549088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Average delta flow ratio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709564304461944"/>
          <c:y val="0.15174800491491053"/>
          <c:w val="0.78073826771653543"/>
          <c:h val="0.67856547539435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ProcessModel!$AB$3</c:f>
              <c:strCache>
                <c:ptCount val="1"/>
                <c:pt idx="0">
                  <c:v>Avg delta flow ratio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22169994750656169"/>
                  <c:y val="-0.18689779354365674"/>
                </c:manualLayout>
              </c:layout>
              <c:numFmt formatCode="#,##0.0000_ " sourceLinked="0"/>
            </c:trendlineLbl>
          </c:trendline>
          <c:xVal>
            <c:numRef>
              <c:f>ProcessModel!$C$5:$C$13</c:f>
              <c:numCache>
                <c:formatCode>0.00_ 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ProcessModel!$AB$5:$AB$13</c:f>
              <c:numCache>
                <c:formatCode>0.0%</c:formatCode>
                <c:ptCount val="9"/>
                <c:pt idx="0">
                  <c:v>0.38399940833020152</c:v>
                </c:pt>
                <c:pt idx="1">
                  <c:v>0.2148283788801591</c:v>
                </c:pt>
                <c:pt idx="2">
                  <c:v>0.15025761335877411</c:v>
                </c:pt>
                <c:pt idx="3">
                  <c:v>9.4623436225765328E-2</c:v>
                </c:pt>
                <c:pt idx="4">
                  <c:v>6.1309575377760626E-2</c:v>
                </c:pt>
                <c:pt idx="5">
                  <c:v>4.3363587422832056E-2</c:v>
                </c:pt>
                <c:pt idx="6">
                  <c:v>3.2552017091033482E-2</c:v>
                </c:pt>
                <c:pt idx="7">
                  <c:v>2.948177540790476E-2</c:v>
                </c:pt>
                <c:pt idx="8">
                  <c:v>2.8531769123437387E-2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87-49AF-8988-BBBD5E8BB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80640"/>
        <c:axId val="187691008"/>
      </c:scatterChart>
      <c:valAx>
        <c:axId val="1876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Flow intensity (L h</a:t>
                </a:r>
                <a:r>
                  <a:rPr lang="en-US" altLang="zh-CN" sz="1200" baseline="30000"/>
                  <a:t>-1</a:t>
                </a:r>
                <a:r>
                  <a:rPr lang="en-US" altLang="zh-CN" sz="1200"/>
                  <a:t> m</a:t>
                </a:r>
                <a:r>
                  <a:rPr lang="en-US" altLang="zh-CN" sz="1200" baseline="30000"/>
                  <a:t>-2</a:t>
                </a:r>
                <a:r>
                  <a:rPr lang="en-US" altLang="zh-CN" sz="1200"/>
                  <a:t>)</a:t>
                </a:r>
                <a:endParaRPr lang="zh-CN" altLang="en-US" sz="1200"/>
              </a:p>
            </c:rich>
          </c:tx>
          <c:layout/>
          <c:overlay val="0"/>
        </c:title>
        <c:numFmt formatCode="0.00_ " sourceLinked="1"/>
        <c:majorTickMark val="none"/>
        <c:minorTickMark val="none"/>
        <c:tickLblPos val="nextTo"/>
        <c:crossAx val="187691008"/>
        <c:crosses val="autoZero"/>
        <c:crossBetween val="midCat"/>
      </c:valAx>
      <c:valAx>
        <c:axId val="1876910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Delta</a:t>
                </a:r>
                <a:r>
                  <a:rPr lang="en-US" altLang="zh-CN" sz="1200" baseline="0"/>
                  <a:t> flow ratio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2.5020715596190651E-2"/>
              <c:y val="0.36670946057806142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crossAx val="18768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638656167979001"/>
          <c:y val="0.19130979753396896"/>
          <c:w val="0.28453957710146655"/>
          <c:h val="0.21757935260507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64125357802852"/>
          <c:y val="5.1400554097404488E-2"/>
          <c:w val="0.72398256255849458"/>
          <c:h val="0.7307677165354330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CostAnalysis!$I$4</c:f>
              <c:strCache>
                <c:ptCount val="1"/>
                <c:pt idx="0">
                  <c:v>Capital cost</c:v>
                </c:pt>
              </c:strCache>
            </c:strRef>
          </c:tx>
          <c:xVal>
            <c:numRef>
              <c:f>CostAnalysis!$G$6:$G$14</c:f>
              <c:numCache>
                <c:formatCode>0.0_);[Red]\(0.0\)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CostAnalysis!$I$6:$I$14</c:f>
              <c:numCache>
                <c:formatCode>0.0_ </c:formatCode>
                <c:ptCount val="9"/>
                <c:pt idx="0">
                  <c:v>969.5</c:v>
                </c:pt>
                <c:pt idx="1">
                  <c:v>414.1</c:v>
                </c:pt>
                <c:pt idx="2">
                  <c:v>294.3</c:v>
                </c:pt>
                <c:pt idx="3">
                  <c:v>214.3</c:v>
                </c:pt>
                <c:pt idx="4">
                  <c:v>181.2</c:v>
                </c:pt>
                <c:pt idx="5">
                  <c:v>160.80000000000001</c:v>
                </c:pt>
                <c:pt idx="6">
                  <c:v>147.19999999999999</c:v>
                </c:pt>
                <c:pt idx="7">
                  <c:v>138.6</c:v>
                </c:pt>
                <c:pt idx="8">
                  <c:v>130.69999999999999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857-4ED4-A196-57D682EFA73B}"/>
            </c:ext>
          </c:extLst>
        </c:ser>
        <c:ser>
          <c:idx val="2"/>
          <c:order val="1"/>
          <c:tx>
            <c:strRef>
              <c:f>CostAnalysis!$J$4</c:f>
              <c:strCache>
                <c:ptCount val="1"/>
                <c:pt idx="0">
                  <c:v>H₂SO₄ makeup cost</c:v>
                </c:pt>
              </c:strCache>
            </c:strRef>
          </c:tx>
          <c:xVal>
            <c:numRef>
              <c:f>CostAnalysis!$G$6:$G$14</c:f>
              <c:numCache>
                <c:formatCode>0.0_);[Red]\(0.0\)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CostAnalysis!$J$6:$J$14</c:f>
              <c:numCache>
                <c:formatCode>0.0_ </c:formatCode>
                <c:ptCount val="9"/>
                <c:pt idx="0">
                  <c:v>279.5</c:v>
                </c:pt>
                <c:pt idx="1">
                  <c:v>258.5</c:v>
                </c:pt>
                <c:pt idx="2">
                  <c:v>245.9</c:v>
                </c:pt>
                <c:pt idx="3">
                  <c:v>238.6</c:v>
                </c:pt>
                <c:pt idx="4">
                  <c:v>239.4</c:v>
                </c:pt>
                <c:pt idx="5">
                  <c:v>235.4</c:v>
                </c:pt>
                <c:pt idx="6">
                  <c:v>228.9</c:v>
                </c:pt>
                <c:pt idx="7">
                  <c:v>229</c:v>
                </c:pt>
                <c:pt idx="8">
                  <c:v>229.7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857-4ED4-A196-57D682EFA73B}"/>
            </c:ext>
          </c:extLst>
        </c:ser>
        <c:ser>
          <c:idx val="3"/>
          <c:order val="2"/>
          <c:tx>
            <c:strRef>
              <c:f>CostAnalysis!$K$4</c:f>
              <c:strCache>
                <c:ptCount val="1"/>
                <c:pt idx="0">
                  <c:v>Effluent disposal cost</c:v>
                </c:pt>
              </c:strCache>
            </c:strRef>
          </c:tx>
          <c:xVal>
            <c:numRef>
              <c:f>CostAnalysis!$G$6:$G$14</c:f>
              <c:numCache>
                <c:formatCode>0.0_);[Red]\(0.0\)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CostAnalysis!$K$6:$K$14</c:f>
              <c:numCache>
                <c:formatCode>0.0_ </c:formatCode>
                <c:ptCount val="9"/>
                <c:pt idx="0">
                  <c:v>99.2</c:v>
                </c:pt>
                <c:pt idx="1">
                  <c:v>116.3</c:v>
                </c:pt>
                <c:pt idx="2">
                  <c:v>134.69999999999999</c:v>
                </c:pt>
                <c:pt idx="3">
                  <c:v>173.4</c:v>
                </c:pt>
                <c:pt idx="4">
                  <c:v>209.5</c:v>
                </c:pt>
                <c:pt idx="5">
                  <c:v>241.1</c:v>
                </c:pt>
                <c:pt idx="6">
                  <c:v>270.7</c:v>
                </c:pt>
                <c:pt idx="7">
                  <c:v>301.39999999999998</c:v>
                </c:pt>
                <c:pt idx="8">
                  <c:v>327.60000000000002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857-4ED4-A196-57D682EFA73B}"/>
            </c:ext>
          </c:extLst>
        </c:ser>
        <c:ser>
          <c:idx val="5"/>
          <c:order val="3"/>
          <c:tx>
            <c:strRef>
              <c:f>CostAnalysis!$L$4</c:f>
              <c:strCache>
                <c:ptCount val="1"/>
                <c:pt idx="0">
                  <c:v>Total cost</c:v>
                </c:pt>
              </c:strCache>
            </c:strRef>
          </c:tx>
          <c:xVal>
            <c:numRef>
              <c:f>CostAnalysis!$G$6:$G$14</c:f>
              <c:numCache>
                <c:formatCode>0.0_);[Red]\(0.0\)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CostAnalysis!$L$6:$L$14</c:f>
              <c:numCache>
                <c:formatCode>0.0_ </c:formatCode>
                <c:ptCount val="9"/>
                <c:pt idx="0">
                  <c:v>1348.2</c:v>
                </c:pt>
                <c:pt idx="1">
                  <c:v>788.9</c:v>
                </c:pt>
                <c:pt idx="2">
                  <c:v>674.90000000000009</c:v>
                </c:pt>
                <c:pt idx="3">
                  <c:v>626.29999999999995</c:v>
                </c:pt>
                <c:pt idx="4">
                  <c:v>630.1</c:v>
                </c:pt>
                <c:pt idx="5">
                  <c:v>637.30000000000007</c:v>
                </c:pt>
                <c:pt idx="6">
                  <c:v>646.79999999999995</c:v>
                </c:pt>
                <c:pt idx="7">
                  <c:v>669</c:v>
                </c:pt>
                <c:pt idx="8">
                  <c:v>688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857-4ED4-A196-57D682EF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47328"/>
        <c:axId val="187749504"/>
      </c:scatterChart>
      <c:valAx>
        <c:axId val="187747328"/>
        <c:scaling>
          <c:orientation val="minMax"/>
          <c:max val="1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Flow</a:t>
                </a:r>
                <a:r>
                  <a:rPr lang="en-US" altLang="zh-CN" sz="1200" baseline="0"/>
                  <a:t> intensity (L h</a:t>
                </a:r>
                <a:r>
                  <a:rPr lang="en-US" altLang="zh-CN" sz="1200" baseline="30000"/>
                  <a:t>-1 </a:t>
                </a:r>
                <a:r>
                  <a:rPr lang="en-US" altLang="zh-CN" sz="1200" baseline="0"/>
                  <a:t>m</a:t>
                </a:r>
                <a:r>
                  <a:rPr lang="en-US" altLang="zh-CN" sz="1200" baseline="30000"/>
                  <a:t>-2</a:t>
                </a:r>
                <a:r>
                  <a:rPr lang="en-US" altLang="zh-CN" sz="1200" baseline="0"/>
                  <a:t>)</a:t>
                </a:r>
                <a:endParaRPr lang="zh-CN" altLang="en-US" sz="1200"/>
              </a:p>
            </c:rich>
          </c:tx>
          <c:layout/>
          <c:overlay val="0"/>
        </c:title>
        <c:numFmt formatCode="0.0_);[Red]\(0.0\)" sourceLinked="1"/>
        <c:majorTickMark val="none"/>
        <c:minorTickMark val="none"/>
        <c:tickLblPos val="nextTo"/>
        <c:crossAx val="187749504"/>
        <c:crosses val="autoZero"/>
        <c:crossBetween val="midCat"/>
        <c:majorUnit val="2"/>
      </c:valAx>
      <c:valAx>
        <c:axId val="187749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Cost</a:t>
                </a:r>
                <a:r>
                  <a:rPr lang="en-US" altLang="zh-CN" sz="1200" baseline="0"/>
                  <a:t> ($/day)</a:t>
                </a:r>
                <a:endParaRPr lang="zh-CN" altLang="en-US" sz="1200"/>
              </a:p>
            </c:rich>
          </c:tx>
          <c:layout/>
          <c:overlay val="0"/>
        </c:title>
        <c:numFmt formatCode="0.0_ " sourceLinked="1"/>
        <c:majorTickMark val="none"/>
        <c:minorTickMark val="none"/>
        <c:tickLblPos val="nextTo"/>
        <c:crossAx val="187747328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52170537104071846"/>
          <c:y val="7.3306357538641009E-2"/>
          <c:w val="0.37551688813688056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71362327545088"/>
          <c:y val="5.1400554097404488E-2"/>
          <c:w val="0.72779924570298016"/>
          <c:h val="0.730767716535433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CostAnalysis!$H$4</c:f>
              <c:strCache>
                <c:ptCount val="1"/>
                <c:pt idx="0">
                  <c:v>Volume expansion</c:v>
                </c:pt>
              </c:strCache>
            </c:strRef>
          </c:tx>
          <c:xVal>
            <c:numRef>
              <c:f>CostAnalysis!$G$6:$G$14</c:f>
              <c:numCache>
                <c:formatCode>0.0_);[Red]\(0.0\)</c:formatCode>
                <c:ptCount val="9"/>
                <c:pt idx="0">
                  <c:v>0.8</c:v>
                </c:pt>
                <c:pt idx="1">
                  <c:v>1.6</c:v>
                </c:pt>
                <c:pt idx="2">
                  <c:v>2.4</c:v>
                </c:pt>
                <c:pt idx="3">
                  <c:v>4</c:v>
                </c:pt>
                <c:pt idx="4">
                  <c:v>5.6</c:v>
                </c:pt>
                <c:pt idx="5">
                  <c:v>7.2</c:v>
                </c:pt>
                <c:pt idx="6">
                  <c:v>8.8000000000000007</c:v>
                </c:pt>
                <c:pt idx="7">
                  <c:v>10.4</c:v>
                </c:pt>
                <c:pt idx="8">
                  <c:v>12</c:v>
                </c:pt>
              </c:numCache>
            </c:numRef>
          </c:xVal>
          <c:yVal>
            <c:numRef>
              <c:f>CostAnalysis!$H$6:$H$14</c:f>
              <c:numCache>
                <c:formatCode>0.0_ </c:formatCode>
                <c:ptCount val="9"/>
                <c:pt idx="0">
                  <c:v>80.2</c:v>
                </c:pt>
                <c:pt idx="1">
                  <c:v>38.4</c:v>
                </c:pt>
                <c:pt idx="2">
                  <c:v>29.1</c:v>
                </c:pt>
                <c:pt idx="3">
                  <c:v>22.9</c:v>
                </c:pt>
                <c:pt idx="4">
                  <c:v>20.5</c:v>
                </c:pt>
                <c:pt idx="5">
                  <c:v>18.8</c:v>
                </c:pt>
                <c:pt idx="6">
                  <c:v>17.5</c:v>
                </c:pt>
                <c:pt idx="7">
                  <c:v>16.8</c:v>
                </c:pt>
                <c:pt idx="8">
                  <c:v>16.2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D4E-463C-A4E8-3EF00340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40672"/>
        <c:axId val="187342848"/>
      </c:scatterChart>
      <c:valAx>
        <c:axId val="187340672"/>
        <c:scaling>
          <c:orientation val="minMax"/>
          <c:max val="1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Flow</a:t>
                </a:r>
                <a:r>
                  <a:rPr lang="en-US" altLang="zh-CN" sz="1200" baseline="0"/>
                  <a:t> intensity (L h</a:t>
                </a:r>
                <a:r>
                  <a:rPr lang="en-US" altLang="zh-CN" sz="1200" baseline="30000"/>
                  <a:t>-1</a:t>
                </a:r>
                <a:r>
                  <a:rPr lang="en-US" altLang="zh-CN" sz="1200" baseline="0"/>
                  <a:t> m</a:t>
                </a:r>
                <a:r>
                  <a:rPr lang="en-US" altLang="zh-CN" sz="1200" baseline="30000"/>
                  <a:t>-2</a:t>
                </a:r>
                <a:r>
                  <a:rPr lang="en-US" altLang="zh-CN" sz="1200" baseline="0"/>
                  <a:t>)</a:t>
                </a:r>
                <a:endParaRPr lang="zh-CN" altLang="en-US" sz="1200"/>
              </a:p>
            </c:rich>
          </c:tx>
          <c:layout/>
          <c:overlay val="0"/>
        </c:title>
        <c:numFmt formatCode="0.0_);[Red]\(0.0\)" sourceLinked="1"/>
        <c:majorTickMark val="none"/>
        <c:minorTickMark val="none"/>
        <c:tickLblPos val="nextTo"/>
        <c:crossAx val="187342848"/>
        <c:crosses val="autoZero"/>
        <c:crossBetween val="midCat"/>
        <c:majorUnit val="2"/>
      </c:valAx>
      <c:valAx>
        <c:axId val="18734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/>
                  <a:t>Volume</a:t>
                </a:r>
                <a:r>
                  <a:rPr lang="en-US" altLang="zh-CN" sz="1200" baseline="0"/>
                  <a:t> expansion  (m</a:t>
                </a:r>
                <a:r>
                  <a:rPr lang="en-US" altLang="zh-CN" sz="1200" baseline="30000"/>
                  <a:t>3</a:t>
                </a:r>
                <a:r>
                  <a:rPr lang="en-US" altLang="zh-CN" sz="1200" baseline="0"/>
                  <a:t>/day)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3.0295536045505125E-2"/>
              <c:y val="0.12409130324229523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crossAx val="187340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860499691527629"/>
          <c:y val="0.37480788859725866"/>
          <c:w val="0.3860972794872054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6465</xdr:colOff>
      <xdr:row>14</xdr:row>
      <xdr:rowOff>0</xdr:rowOff>
    </xdr:from>
    <xdr:to>
      <xdr:col>7</xdr:col>
      <xdr:colOff>312966</xdr:colOff>
      <xdr:row>31</xdr:row>
      <xdr:rowOff>176893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408215</xdr:colOff>
      <xdr:row>14</xdr:row>
      <xdr:rowOff>9524</xdr:rowOff>
    </xdr:from>
    <xdr:to>
      <xdr:col>14</xdr:col>
      <xdr:colOff>163286</xdr:colOff>
      <xdr:row>32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244928</xdr:colOff>
      <xdr:row>14</xdr:row>
      <xdr:rowOff>9525</xdr:rowOff>
    </xdr:from>
    <xdr:to>
      <xdr:col>21</xdr:col>
      <xdr:colOff>108856</xdr:colOff>
      <xdr:row>32</xdr:row>
      <xdr:rowOff>1</xdr:rowOff>
    </xdr:to>
    <xdr:graphicFrame macro="">
      <xdr:nvGraphicFramePr>
        <xdr:cNvPr id="4" name="图表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190499</xdr:colOff>
      <xdr:row>14</xdr:row>
      <xdr:rowOff>16329</xdr:rowOff>
    </xdr:from>
    <xdr:to>
      <xdr:col>28</xdr:col>
      <xdr:colOff>0</xdr:colOff>
      <xdr:row>32</xdr:row>
      <xdr:rowOff>1</xdr:rowOff>
    </xdr:to>
    <xdr:graphicFrame macro="">
      <xdr:nvGraphicFramePr>
        <xdr:cNvPr id="5" name="图表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38</xdr:row>
          <xdr:rowOff>180975</xdr:rowOff>
        </xdr:from>
        <xdr:to>
          <xdr:col>16</xdr:col>
          <xdr:colOff>704850</xdr:colOff>
          <xdr:row>43</xdr:row>
          <xdr:rowOff>104775</xdr:rowOff>
        </xdr:to>
        <xdr:sp macro="" textlink="">
          <xdr:nvSpPr>
            <xdr:cNvPr id="1026" name="AutoShape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</xdr:colOff>
      <xdr:row>30</xdr:row>
      <xdr:rowOff>1</xdr:rowOff>
    </xdr:from>
    <xdr:to>
      <xdr:col>12</xdr:col>
      <xdr:colOff>13608</xdr:colOff>
      <xdr:row>44</xdr:row>
      <xdr:rowOff>95250</xdr:rowOff>
    </xdr:to>
    <xdr:graphicFrame macro="">
      <xdr:nvGraphicFramePr>
        <xdr:cNvPr id="5" name="图表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178594</xdr:rowOff>
    </xdr:from>
    <xdr:to>
      <xdr:col>12</xdr:col>
      <xdr:colOff>13607</xdr:colOff>
      <xdr:row>29</xdr:row>
      <xdr:rowOff>102924</xdr:rowOff>
    </xdr:to>
    <xdr:graphicFrame macro="">
      <xdr:nvGraphicFramePr>
        <xdr:cNvPr id="6" name="图表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B48"/>
  <sheetViews>
    <sheetView tabSelected="1" zoomScale="70" zoomScaleNormal="70" workbookViewId="0">
      <selection activeCell="W42" sqref="W42"/>
    </sheetView>
  </sheetViews>
  <sheetFormatPr defaultRowHeight="15" x14ac:dyDescent="0.15"/>
  <cols>
    <col min="1" max="1" width="3.625" style="2" customWidth="1"/>
    <col min="2" max="2" width="14.375" style="4" customWidth="1"/>
    <col min="3" max="3" width="10.75" style="4" customWidth="1"/>
    <col min="4" max="7" width="9.5" style="3" bestFit="1" customWidth="1"/>
    <col min="8" max="8" width="9.125" style="3" bestFit="1" customWidth="1"/>
    <col min="9" max="9" width="9.75" style="3" customWidth="1"/>
    <col min="10" max="11" width="10" style="3" bestFit="1" customWidth="1"/>
    <col min="12" max="12" width="9.125" style="3" bestFit="1" customWidth="1"/>
    <col min="13" max="13" width="9.75" style="3" customWidth="1"/>
    <col min="14" max="15" width="10" style="3" bestFit="1" customWidth="1"/>
    <col min="16" max="16" width="9.125" style="3" bestFit="1" customWidth="1"/>
    <col min="17" max="17" width="9.625" style="3" bestFit="1" customWidth="1"/>
    <col min="18" max="18" width="9.5" style="3" customWidth="1"/>
    <col min="19" max="23" width="10.125" style="3" bestFit="1" customWidth="1"/>
    <col min="24" max="24" width="9.5" style="3" bestFit="1" customWidth="1"/>
    <col min="25" max="25" width="9.75" style="3" customWidth="1"/>
    <col min="26" max="26" width="10.125" style="3" bestFit="1" customWidth="1"/>
    <col min="27" max="27" width="10" style="2" bestFit="1" customWidth="1"/>
    <col min="28" max="16384" width="9" style="2"/>
  </cols>
  <sheetData>
    <row r="2" spans="2:28" ht="15.75" x14ac:dyDescent="0.15">
      <c r="B2" s="104" t="s">
        <v>60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2:28" x14ac:dyDescent="0.15">
      <c r="B3" s="102" t="s">
        <v>65</v>
      </c>
      <c r="C3" s="102" t="s">
        <v>66</v>
      </c>
      <c r="D3" s="110" t="s">
        <v>41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08" t="s">
        <v>78</v>
      </c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9"/>
      <c r="AB3" s="106" t="s">
        <v>55</v>
      </c>
    </row>
    <row r="4" spans="2:28" ht="30" x14ac:dyDescent="0.15">
      <c r="B4" s="103"/>
      <c r="C4" s="103"/>
      <c r="D4" s="38" t="s">
        <v>0</v>
      </c>
      <c r="E4" s="38" t="s">
        <v>1</v>
      </c>
      <c r="F4" s="38" t="s">
        <v>42</v>
      </c>
      <c r="G4" s="38" t="s">
        <v>67</v>
      </c>
      <c r="H4" s="38" t="s">
        <v>68</v>
      </c>
      <c r="I4" s="38" t="s">
        <v>69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39" t="s">
        <v>75</v>
      </c>
      <c r="P4" s="40" t="s">
        <v>0</v>
      </c>
      <c r="Q4" s="40" t="s">
        <v>1</v>
      </c>
      <c r="R4" s="40" t="s">
        <v>43</v>
      </c>
      <c r="S4" s="40" t="s">
        <v>67</v>
      </c>
      <c r="T4" s="40" t="s">
        <v>76</v>
      </c>
      <c r="U4" s="40" t="s">
        <v>69</v>
      </c>
      <c r="V4" s="40" t="s">
        <v>70</v>
      </c>
      <c r="W4" s="40" t="s">
        <v>71</v>
      </c>
      <c r="X4" s="40" t="s">
        <v>72</v>
      </c>
      <c r="Y4" s="40" t="s">
        <v>73</v>
      </c>
      <c r="Z4" s="40" t="s">
        <v>77</v>
      </c>
      <c r="AA4" s="41" t="s">
        <v>75</v>
      </c>
      <c r="AB4" s="107"/>
    </row>
    <row r="5" spans="2:28" x14ac:dyDescent="0.15">
      <c r="B5" s="42">
        <v>0.4</v>
      </c>
      <c r="C5" s="43">
        <f>B5/0.5</f>
        <v>0.8</v>
      </c>
      <c r="D5" s="44">
        <v>0.38966898043680992</v>
      </c>
      <c r="E5" s="44">
        <v>0.53947538860103617</v>
      </c>
      <c r="F5" s="45">
        <f>(E5-D5)/D5</f>
        <v>0.38444530020402629</v>
      </c>
      <c r="G5" s="44">
        <v>0.64980065953218169</v>
      </c>
      <c r="H5" s="44">
        <v>8.6848791878662138E-2</v>
      </c>
      <c r="I5" s="44">
        <v>0.82003203736625507</v>
      </c>
      <c r="J5" s="46">
        <v>6.043170095934218E-2</v>
      </c>
      <c r="K5" s="46">
        <v>1.0847465724847313E-2</v>
      </c>
      <c r="L5" s="44">
        <v>0.94807836257309941</v>
      </c>
      <c r="M5" s="44">
        <v>2.0785770768856282</v>
      </c>
      <c r="N5" s="46">
        <v>4.4420926037282028E-3</v>
      </c>
      <c r="O5" s="47">
        <v>2.6371222350922026E-3</v>
      </c>
      <c r="P5" s="44">
        <v>0.39054165758579806</v>
      </c>
      <c r="Q5" s="44">
        <v>0.24074803149606303</v>
      </c>
      <c r="R5" s="45">
        <f>(P5-Q5)/P5</f>
        <v>0.3835535164563767</v>
      </c>
      <c r="S5" s="46">
        <v>3.58223802382222E-2</v>
      </c>
      <c r="T5" s="46">
        <v>5.3404693445655493E-3</v>
      </c>
      <c r="U5" s="46">
        <v>4.852336826703247E-2</v>
      </c>
      <c r="V5" s="46">
        <v>2.1416033973696236E-2</v>
      </c>
      <c r="W5" s="46">
        <v>3.7546125333668746E-3</v>
      </c>
      <c r="X5" s="44">
        <v>3.2991982456140354</v>
      </c>
      <c r="Y5" s="44">
        <v>1.7603810841576388</v>
      </c>
      <c r="Z5" s="46">
        <v>1.5273120865904991E-2</v>
      </c>
      <c r="AA5" s="48">
        <v>3.9625103872527965E-3</v>
      </c>
      <c r="AB5" s="49">
        <f>AVERAGE(F5,R5)</f>
        <v>0.38399940833020152</v>
      </c>
    </row>
    <row r="6" spans="2:28" x14ac:dyDescent="0.15">
      <c r="B6" s="42">
        <v>0.8</v>
      </c>
      <c r="C6" s="43">
        <f t="shared" ref="C6:C13" si="0">B6/0.5</f>
        <v>1.6</v>
      </c>
      <c r="D6" s="44">
        <v>0.79783946754086099</v>
      </c>
      <c r="E6" s="44">
        <v>0.97141035856573676</v>
      </c>
      <c r="F6" s="45">
        <f t="shared" ref="F6:F13" si="1">(E6-D6)/D6</f>
        <v>0.21755114667348344</v>
      </c>
      <c r="G6" s="44">
        <v>0.71992547321895795</v>
      </c>
      <c r="H6" s="44">
        <v>9.770222122833909E-2</v>
      </c>
      <c r="I6" s="44">
        <v>0.92956378600823042</v>
      </c>
      <c r="J6" s="46">
        <v>7.0440808097905802E-2</v>
      </c>
      <c r="K6" s="46">
        <v>1.2693915538691597E-2</v>
      </c>
      <c r="L6" s="44">
        <v>0.91278771929824565</v>
      </c>
      <c r="M6" s="44">
        <v>2.2405910651319685</v>
      </c>
      <c r="N6" s="46">
        <v>3.8845460012026461E-3</v>
      </c>
      <c r="O6" s="48">
        <v>2.9865278053289508E-3</v>
      </c>
      <c r="P6" s="44">
        <v>0.81621520230253797</v>
      </c>
      <c r="Q6" s="44">
        <v>0.64309137803979366</v>
      </c>
      <c r="R6" s="45">
        <f t="shared" ref="R6:R13" si="2">(P6-Q6)/P6</f>
        <v>0.21210561108683479</v>
      </c>
      <c r="S6" s="46">
        <v>1.9251964547078282E-2</v>
      </c>
      <c r="T6" s="46">
        <v>2.9556648704037345E-3</v>
      </c>
      <c r="U6" s="46">
        <v>2.434442636680384E-2</v>
      </c>
      <c r="V6" s="46">
        <v>1.1723324829891083E-2</v>
      </c>
      <c r="W6" s="46">
        <v>2.0834675841683785E-3</v>
      </c>
      <c r="X6" s="44">
        <v>2.7173795321637431</v>
      </c>
      <c r="Y6" s="44">
        <v>1.3927956575796829</v>
      </c>
      <c r="Z6" s="46">
        <v>1.3280577269993987E-2</v>
      </c>
      <c r="AA6" s="48">
        <v>3.2791060589596761E-3</v>
      </c>
      <c r="AB6" s="49">
        <f t="shared" ref="AB6:AB13" si="3">AVERAGE(F6,R6)</f>
        <v>0.2148283788801591</v>
      </c>
    </row>
    <row r="7" spans="2:28" x14ac:dyDescent="0.15">
      <c r="B7" s="42">
        <v>1.2</v>
      </c>
      <c r="C7" s="43">
        <f t="shared" si="0"/>
        <v>2.4</v>
      </c>
      <c r="D7" s="44">
        <v>1.185507183559587</v>
      </c>
      <c r="E7" s="44">
        <v>1.3672958458379403</v>
      </c>
      <c r="F7" s="45">
        <f t="shared" si="1"/>
        <v>0.15334252276103236</v>
      </c>
      <c r="G7" s="44">
        <v>0.7851128263324646</v>
      </c>
      <c r="H7" s="44">
        <v>0.10338024955923224</v>
      </c>
      <c r="I7" s="44">
        <v>0.98200432636488344</v>
      </c>
      <c r="J7" s="46">
        <v>7.6991136952706124E-2</v>
      </c>
      <c r="K7" s="46">
        <v>1.3741915401450672E-2</v>
      </c>
      <c r="L7" s="44">
        <v>1.1521918128654971</v>
      </c>
      <c r="M7" s="44">
        <v>2.5097544033502408</v>
      </c>
      <c r="N7" s="46">
        <v>4.6980156343956704E-3</v>
      </c>
      <c r="O7" s="48">
        <v>3.4963609420634147E-3</v>
      </c>
      <c r="P7" s="44">
        <v>1.2268840708702542</v>
      </c>
      <c r="Q7" s="44">
        <v>1.0463202247191012</v>
      </c>
      <c r="R7" s="45">
        <f t="shared" si="2"/>
        <v>0.14717270395651585</v>
      </c>
      <c r="S7" s="46">
        <v>1.2654868269564216E-2</v>
      </c>
      <c r="T7" s="46">
        <v>1.9373204824244428E-3</v>
      </c>
      <c r="U7" s="46">
        <v>1.5573217305349793E-2</v>
      </c>
      <c r="V7" s="46">
        <v>7.4059460364021062E-3</v>
      </c>
      <c r="W7" s="46">
        <v>1.2936719125683058E-3</v>
      </c>
      <c r="X7" s="44">
        <v>2.2194953216374271</v>
      </c>
      <c r="Y7" s="44">
        <v>1.1348464220737164</v>
      </c>
      <c r="Z7" s="46">
        <v>1.1123511725796755E-2</v>
      </c>
      <c r="AA7" s="48">
        <v>2.7188334266168412E-3</v>
      </c>
      <c r="AB7" s="49">
        <f t="shared" si="3"/>
        <v>0.15025761335877411</v>
      </c>
    </row>
    <row r="8" spans="2:28" x14ac:dyDescent="0.15">
      <c r="B8" s="42">
        <v>2</v>
      </c>
      <c r="C8" s="43">
        <f t="shared" si="0"/>
        <v>4</v>
      </c>
      <c r="D8" s="44">
        <v>1.9545040529892415</v>
      </c>
      <c r="E8" s="44">
        <v>2.1457171623296158</v>
      </c>
      <c r="F8" s="45">
        <f t="shared" si="1"/>
        <v>9.7832035215240823E-2</v>
      </c>
      <c r="G8" s="44">
        <v>0.82379231625407234</v>
      </c>
      <c r="H8" s="44">
        <v>0.11196976703232055</v>
      </c>
      <c r="I8" s="44">
        <v>1.0557396584453589</v>
      </c>
      <c r="J8" s="46">
        <v>8.3469763338222216E-2</v>
      </c>
      <c r="K8" s="46">
        <v>1.503186663564071E-2</v>
      </c>
      <c r="L8" s="44">
        <v>1.5146362573099417</v>
      </c>
      <c r="M8" s="44">
        <v>2.7385220188118229</v>
      </c>
      <c r="N8" s="46">
        <v>6.2152736019242339E-3</v>
      </c>
      <c r="O8" s="48">
        <v>3.8579992853733538E-3</v>
      </c>
      <c r="P8" s="44">
        <v>2.0528032893928994</v>
      </c>
      <c r="Q8" s="44">
        <v>1.8651466108149271</v>
      </c>
      <c r="R8" s="45">
        <f t="shared" si="2"/>
        <v>9.1414837236289848E-2</v>
      </c>
      <c r="S8" s="46">
        <v>7.7547799977999935E-3</v>
      </c>
      <c r="T8" s="46">
        <v>1.3031331034811158E-3</v>
      </c>
      <c r="U8" s="46">
        <v>9.6115111209876519E-3</v>
      </c>
      <c r="V8" s="46">
        <v>4.4636154167969032E-3</v>
      </c>
      <c r="W8" s="46">
        <v>7.4996235294117624E-4</v>
      </c>
      <c r="X8" s="44">
        <v>1.7177959064327486</v>
      </c>
      <c r="Y8" s="44">
        <v>0.86488136370996227</v>
      </c>
      <c r="Z8" s="46">
        <v>8.7745039085989178E-3</v>
      </c>
      <c r="AA8" s="48">
        <v>2.1049328563878095E-3</v>
      </c>
      <c r="AB8" s="49">
        <f t="shared" si="3"/>
        <v>9.4623436225765328E-2</v>
      </c>
    </row>
    <row r="9" spans="2:28" x14ac:dyDescent="0.15">
      <c r="B9" s="42">
        <v>2.8</v>
      </c>
      <c r="C9" s="43">
        <f t="shared" si="0"/>
        <v>5.6</v>
      </c>
      <c r="D9" s="44">
        <v>2.696291671410735</v>
      </c>
      <c r="E9" s="44">
        <v>2.8696428571428574</v>
      </c>
      <c r="F9" s="45">
        <f t="shared" si="1"/>
        <v>6.4292445646810456E-2</v>
      </c>
      <c r="G9" s="44">
        <v>0.845829744339333</v>
      </c>
      <c r="H9" s="44">
        <v>0.11357263279842462</v>
      </c>
      <c r="I9" s="44">
        <v>1.0584965706447187</v>
      </c>
      <c r="J9" s="46">
        <v>8.3960281046380203E-2</v>
      </c>
      <c r="K9" s="46">
        <v>1.5230275937556773E-2</v>
      </c>
      <c r="L9" s="44">
        <v>1.7950538011695907</v>
      </c>
      <c r="M9" s="44">
        <v>2.9128427222680173</v>
      </c>
      <c r="N9" s="46">
        <v>7.4126277811184596E-3</v>
      </c>
      <c r="O9" s="48">
        <v>4.3168085486745755E-3</v>
      </c>
      <c r="P9" s="44">
        <v>2.8592734408393863</v>
      </c>
      <c r="Q9" s="44">
        <v>2.6925014420303786</v>
      </c>
      <c r="R9" s="45">
        <f t="shared" si="2"/>
        <v>5.8326705108710797E-2</v>
      </c>
      <c r="S9" s="46">
        <v>6.0522422367729261E-3</v>
      </c>
      <c r="T9" s="46">
        <v>1.0370471283039496E-3</v>
      </c>
      <c r="U9" s="46">
        <v>7.1739833827160482E-3</v>
      </c>
      <c r="V9" s="46">
        <v>3.0390458680964634E-3</v>
      </c>
      <c r="W9" s="46">
        <v>4.96542822383408E-4</v>
      </c>
      <c r="X9" s="44">
        <v>1.3877807017543862</v>
      </c>
      <c r="Y9" s="44">
        <v>0.71352849740932633</v>
      </c>
      <c r="Z9" s="46">
        <v>7.3212266987372219E-3</v>
      </c>
      <c r="AA9" s="48">
        <v>1.7384971894187167E-3</v>
      </c>
      <c r="AB9" s="49">
        <f t="shared" si="3"/>
        <v>6.1309575377760626E-2</v>
      </c>
    </row>
    <row r="10" spans="2:28" x14ac:dyDescent="0.15">
      <c r="B10" s="42">
        <v>3.6</v>
      </c>
      <c r="C10" s="43">
        <f t="shared" si="0"/>
        <v>7.2</v>
      </c>
      <c r="D10" s="44">
        <v>3.4409205585225497</v>
      </c>
      <c r="E10" s="44">
        <v>3.6</v>
      </c>
      <c r="F10" s="45">
        <f t="shared" si="1"/>
        <v>4.6231651900082028E-2</v>
      </c>
      <c r="G10" s="44">
        <v>0.84529080019215885</v>
      </c>
      <c r="H10" s="44">
        <v>0.11805330129948879</v>
      </c>
      <c r="I10" s="44">
        <v>1.104407029382716</v>
      </c>
      <c r="J10" s="46">
        <v>8.6325493977062337E-2</v>
      </c>
      <c r="K10" s="46">
        <v>1.5503639300937764E-2</v>
      </c>
      <c r="L10" s="44">
        <v>1.9533847953216374</v>
      </c>
      <c r="M10" s="44">
        <v>3.0180793663644212</v>
      </c>
      <c r="N10" s="46">
        <v>8.1712567648827422E-3</v>
      </c>
      <c r="O10" s="48">
        <v>4.568337098181492E-3</v>
      </c>
      <c r="P10" s="44">
        <v>3.6758519922802302</v>
      </c>
      <c r="Q10" s="44">
        <v>3.5269964435822825</v>
      </c>
      <c r="R10" s="45">
        <f t="shared" si="2"/>
        <v>4.0495522945582091E-2</v>
      </c>
      <c r="S10" s="46">
        <v>5.0665845098646061E-3</v>
      </c>
      <c r="T10" s="46">
        <v>8.7804484432836625E-4</v>
      </c>
      <c r="U10" s="46">
        <v>5.8950249555555544E-3</v>
      </c>
      <c r="V10" s="46">
        <v>2.3299386357625443E-3</v>
      </c>
      <c r="W10" s="46">
        <v>3.7689869690998271E-4</v>
      </c>
      <c r="X10" s="44">
        <v>1.187482456140351</v>
      </c>
      <c r="Y10" s="44">
        <v>0.60518256940355619</v>
      </c>
      <c r="Z10" s="46">
        <v>6.2975345760673479E-3</v>
      </c>
      <c r="AA10" s="48">
        <v>1.5115897249966673E-3</v>
      </c>
      <c r="AB10" s="49">
        <f t="shared" si="3"/>
        <v>4.3363587422832056E-2</v>
      </c>
    </row>
    <row r="11" spans="2:28" x14ac:dyDescent="0.15">
      <c r="B11" s="42">
        <v>4.4000000000000004</v>
      </c>
      <c r="C11" s="43">
        <f t="shared" si="0"/>
        <v>8.8000000000000007</v>
      </c>
      <c r="D11" s="44">
        <v>4.2322772658147763</v>
      </c>
      <c r="E11" s="44">
        <v>4.3820922178903565</v>
      </c>
      <c r="F11" s="45">
        <f t="shared" si="1"/>
        <v>3.5398189359112951E-2</v>
      </c>
      <c r="G11" s="44">
        <v>0.84339583397034101</v>
      </c>
      <c r="H11" s="44">
        <v>0.11777244636014748</v>
      </c>
      <c r="I11" s="44">
        <v>1.1007699706995884</v>
      </c>
      <c r="J11" s="46">
        <v>8.8926656247745914E-2</v>
      </c>
      <c r="K11" s="46">
        <v>1.603420406971056E-2</v>
      </c>
      <c r="L11" s="44">
        <v>2.1012239766081873</v>
      </c>
      <c r="M11" s="44">
        <v>3.1074247407363789</v>
      </c>
      <c r="N11" s="46">
        <v>8.8933253156945283E-3</v>
      </c>
      <c r="O11" s="48">
        <v>4.8657633258489628E-3</v>
      </c>
      <c r="P11" s="44">
        <v>4.5497579499806946</v>
      </c>
      <c r="Q11" s="44">
        <v>4.4146035463365667</v>
      </c>
      <c r="R11" s="45">
        <f t="shared" si="2"/>
        <v>2.9705844822954016E-2</v>
      </c>
      <c r="S11" s="46">
        <v>4.5935655589322139E-3</v>
      </c>
      <c r="T11" s="46">
        <v>8.2027683794876191E-4</v>
      </c>
      <c r="U11" s="46">
        <v>5.3616042042981251E-3</v>
      </c>
      <c r="V11" s="46">
        <v>2.0202572575797654E-3</v>
      </c>
      <c r="W11" s="46">
        <v>3.2129135997093064E-4</v>
      </c>
      <c r="X11" s="44">
        <v>1.0272438596491229</v>
      </c>
      <c r="Y11" s="44">
        <v>0.5335673486320458</v>
      </c>
      <c r="Z11" s="46">
        <v>5.5754660252555618E-3</v>
      </c>
      <c r="AA11" s="48">
        <v>1.3490517763550456E-3</v>
      </c>
      <c r="AB11" s="49">
        <f t="shared" si="3"/>
        <v>3.2552017091033482E-2</v>
      </c>
    </row>
    <row r="12" spans="2:28" x14ac:dyDescent="0.15">
      <c r="B12" s="42">
        <v>5.2</v>
      </c>
      <c r="C12" s="43">
        <f t="shared" si="0"/>
        <v>10.4</v>
      </c>
      <c r="D12" s="44">
        <v>4.8878815023010285</v>
      </c>
      <c r="E12" s="44">
        <v>5.0465116279069768</v>
      </c>
      <c r="F12" s="45">
        <f t="shared" si="1"/>
        <v>3.2453758449600578E-2</v>
      </c>
      <c r="G12" s="44">
        <v>0.85839812166658591</v>
      </c>
      <c r="H12" s="44">
        <v>0.11841544221135514</v>
      </c>
      <c r="I12" s="44">
        <v>1.1077128486511203</v>
      </c>
      <c r="J12" s="46">
        <v>8.8891671996345359E-2</v>
      </c>
      <c r="K12" s="46">
        <v>1.5735663619974E-2</v>
      </c>
      <c r="L12" s="44">
        <v>2.1994654970760235</v>
      </c>
      <c r="M12" s="44">
        <v>3.163072852390485</v>
      </c>
      <c r="N12" s="46">
        <v>9.4417318099819618E-3</v>
      </c>
      <c r="O12" s="48">
        <v>5.0601233080957552E-3</v>
      </c>
      <c r="P12" s="44">
        <v>5.2777069619232728</v>
      </c>
      <c r="Q12" s="44">
        <v>5.1377960461929915</v>
      </c>
      <c r="R12" s="45">
        <f t="shared" si="2"/>
        <v>2.6509792366208942E-2</v>
      </c>
      <c r="S12" s="46">
        <v>4.4115587855962958E-3</v>
      </c>
      <c r="T12" s="46">
        <v>7.5531828066522928E-4</v>
      </c>
      <c r="U12" s="46">
        <v>4.9427121234567901E-3</v>
      </c>
      <c r="V12" s="46">
        <v>1.5638552234858503E-3</v>
      </c>
      <c r="W12" s="46">
        <v>2.428383539474235E-4</v>
      </c>
      <c r="X12" s="44">
        <v>0.93567894736842105</v>
      </c>
      <c r="Y12" s="44">
        <v>0.47118706988930753</v>
      </c>
      <c r="Z12" s="46">
        <v>5.0819001803968731E-3</v>
      </c>
      <c r="AA12" s="48">
        <v>1.2356941885025684E-3</v>
      </c>
      <c r="AB12" s="49">
        <f t="shared" si="3"/>
        <v>2.948177540790476E-2</v>
      </c>
    </row>
    <row r="13" spans="2:28" x14ac:dyDescent="0.15">
      <c r="B13" s="50">
        <v>6</v>
      </c>
      <c r="C13" s="51">
        <f t="shared" si="0"/>
        <v>12</v>
      </c>
      <c r="D13" s="52">
        <v>5.5341718988646385</v>
      </c>
      <c r="E13" s="52">
        <v>5.7094755931691097</v>
      </c>
      <c r="F13" s="53">
        <f t="shared" si="1"/>
        <v>3.1676590013482525E-2</v>
      </c>
      <c r="G13" s="52">
        <v>0.86500440697141123</v>
      </c>
      <c r="H13" s="52">
        <v>0.1199020942631177</v>
      </c>
      <c r="I13" s="52">
        <v>1.102849510946502</v>
      </c>
      <c r="J13" s="54">
        <v>8.6501689692481537E-2</v>
      </c>
      <c r="K13" s="54">
        <v>1.5701185097480187E-2</v>
      </c>
      <c r="L13" s="52">
        <v>2.2767233918128658</v>
      </c>
      <c r="M13" s="52">
        <v>3.2114985609985873</v>
      </c>
      <c r="N13" s="54">
        <v>9.8530366806975338E-3</v>
      </c>
      <c r="O13" s="55">
        <v>5.1412790640704515E-3</v>
      </c>
      <c r="P13" s="52">
        <v>5.9983462417282416</v>
      </c>
      <c r="Q13" s="52">
        <v>5.8460665362035238</v>
      </c>
      <c r="R13" s="53">
        <f t="shared" si="2"/>
        <v>2.5386948233392249E-2</v>
      </c>
      <c r="S13" s="54">
        <v>4.003678338684198E-3</v>
      </c>
      <c r="T13" s="54">
        <v>7.201405215194115E-4</v>
      </c>
      <c r="U13" s="54">
        <v>4.6025565907636028E-3</v>
      </c>
      <c r="V13" s="54">
        <v>1.3660865812315166E-3</v>
      </c>
      <c r="W13" s="54">
        <v>2.1979813634648439E-4</v>
      </c>
      <c r="X13" s="52">
        <v>0.85460584795321648</v>
      </c>
      <c r="Y13" s="52">
        <v>0.43707637119249487</v>
      </c>
      <c r="Z13" s="54">
        <v>4.6340348767288028E-3</v>
      </c>
      <c r="AA13" s="55">
        <v>1.1628946668176422E-3</v>
      </c>
      <c r="AB13" s="56">
        <f t="shared" si="3"/>
        <v>2.8531769123437387E-2</v>
      </c>
    </row>
    <row r="33" spans="2:28" x14ac:dyDescent="0.15">
      <c r="B33" s="57"/>
      <c r="C33" s="58"/>
      <c r="D33" s="44"/>
      <c r="E33" s="44"/>
      <c r="F33" s="45"/>
      <c r="G33" s="44"/>
      <c r="H33" s="44"/>
      <c r="I33" s="44"/>
      <c r="J33" s="46"/>
      <c r="K33" s="46"/>
      <c r="L33" s="44"/>
      <c r="M33" s="44"/>
      <c r="N33" s="46"/>
      <c r="O33" s="46"/>
      <c r="P33" s="44"/>
      <c r="Q33" s="44"/>
      <c r="R33" s="45"/>
      <c r="S33" s="46"/>
      <c r="T33" s="46"/>
      <c r="U33" s="46"/>
      <c r="V33" s="46"/>
      <c r="W33" s="46"/>
      <c r="X33" s="44"/>
      <c r="Y33" s="44"/>
      <c r="Z33" s="46"/>
      <c r="AA33" s="46"/>
      <c r="AB33" s="45"/>
    </row>
    <row r="34" spans="2:28" x14ac:dyDescent="0.15">
      <c r="B34" s="57"/>
      <c r="C34" s="58"/>
      <c r="D34" s="44"/>
      <c r="E34" s="44"/>
      <c r="F34" s="45"/>
      <c r="G34" s="44"/>
      <c r="H34" s="44"/>
      <c r="I34" s="44"/>
      <c r="J34" s="46"/>
      <c r="K34" s="46"/>
      <c r="L34" s="44"/>
      <c r="M34" s="44"/>
      <c r="N34" s="46"/>
      <c r="O34" s="46"/>
      <c r="P34" s="44"/>
      <c r="Q34" s="44"/>
      <c r="R34" s="45"/>
      <c r="S34" s="46"/>
      <c r="T34" s="46"/>
      <c r="U34" s="46"/>
      <c r="V34" s="46"/>
      <c r="W34" s="46"/>
      <c r="X34" s="44"/>
      <c r="Y34" s="44"/>
      <c r="Z34" s="46"/>
      <c r="AA34" s="46"/>
      <c r="AB34" s="45"/>
    </row>
    <row r="35" spans="2:28" ht="15" customHeight="1" x14ac:dyDescent="0.15">
      <c r="B35" s="95" t="s">
        <v>115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2:28" ht="13.5" customHeight="1" x14ac:dyDescent="0.15">
      <c r="B36" s="102" t="s">
        <v>54</v>
      </c>
      <c r="C36" s="59" t="s">
        <v>67</v>
      </c>
      <c r="D36" s="59" t="s">
        <v>68</v>
      </c>
      <c r="E36" s="59" t="s">
        <v>69</v>
      </c>
      <c r="F36" s="59" t="s">
        <v>70</v>
      </c>
      <c r="G36" s="59" t="s">
        <v>71</v>
      </c>
      <c r="H36" s="59" t="s">
        <v>72</v>
      </c>
      <c r="I36" s="59" t="s">
        <v>79</v>
      </c>
      <c r="J36" s="59" t="s">
        <v>77</v>
      </c>
      <c r="K36" s="60" t="s">
        <v>80</v>
      </c>
      <c r="L36" s="44"/>
      <c r="M36" s="44"/>
      <c r="N36" s="46"/>
      <c r="O36" s="46"/>
      <c r="P36" s="44"/>
      <c r="Q36" s="44"/>
      <c r="R36" s="45"/>
      <c r="S36" s="46"/>
      <c r="T36" s="46"/>
      <c r="U36" s="46"/>
      <c r="V36" s="46"/>
      <c r="W36" s="46"/>
      <c r="X36" s="44"/>
      <c r="Y36" s="44"/>
      <c r="Z36" s="46"/>
      <c r="AA36" s="46"/>
      <c r="AB36" s="45"/>
    </row>
    <row r="37" spans="2:28" x14ac:dyDescent="0.15">
      <c r="B37" s="103"/>
      <c r="C37" s="52">
        <v>0.88700000000000001</v>
      </c>
      <c r="D37" s="52">
        <v>0.121</v>
      </c>
      <c r="E37" s="52">
        <v>1.137</v>
      </c>
      <c r="F37" s="54">
        <v>9.35E-2</v>
      </c>
      <c r="G37" s="54">
        <v>1.6899999999999998E-2</v>
      </c>
      <c r="H37" s="52">
        <v>3.262</v>
      </c>
      <c r="I37" s="52">
        <v>3.82</v>
      </c>
      <c r="J37" s="54">
        <v>1.52E-2</v>
      </c>
      <c r="K37" s="87">
        <v>6.3164543636172223E-3</v>
      </c>
      <c r="P37" s="44"/>
      <c r="Q37" s="44"/>
      <c r="R37" s="45"/>
      <c r="S37" s="46"/>
      <c r="T37" s="46"/>
      <c r="U37" s="46"/>
      <c r="V37" s="46"/>
      <c r="W37" s="46"/>
      <c r="X37" s="44"/>
      <c r="Y37" s="44"/>
      <c r="Z37" s="46"/>
      <c r="AA37" s="46"/>
      <c r="AB37" s="45"/>
    </row>
    <row r="38" spans="2:28" s="68" customFormat="1" x14ac:dyDescent="0.25">
      <c r="B38" s="97" t="s">
        <v>81</v>
      </c>
      <c r="C38" s="99" t="s">
        <v>53</v>
      </c>
      <c r="D38" s="100"/>
      <c r="E38" s="100"/>
      <c r="F38" s="100"/>
      <c r="G38" s="100"/>
      <c r="H38" s="100"/>
      <c r="I38" s="100"/>
      <c r="J38" s="100"/>
      <c r="K38" s="101"/>
      <c r="L38" s="61"/>
      <c r="M38" s="62"/>
      <c r="N38" s="63"/>
      <c r="O38" s="63"/>
      <c r="P38" s="63"/>
      <c r="Q38" s="63"/>
      <c r="R38" s="63"/>
      <c r="S38" s="64"/>
      <c r="T38" s="64"/>
      <c r="U38" s="65"/>
      <c r="V38" s="65"/>
      <c r="W38" s="66"/>
      <c r="X38" s="66"/>
      <c r="Y38" s="64"/>
      <c r="Z38" s="64"/>
      <c r="AA38" s="65"/>
      <c r="AB38" s="67"/>
    </row>
    <row r="39" spans="2:28" s="68" customFormat="1" ht="18.75" x14ac:dyDescent="0.3">
      <c r="B39" s="98"/>
      <c r="C39" s="86" t="s">
        <v>82</v>
      </c>
      <c r="D39" s="69" t="s">
        <v>83</v>
      </c>
      <c r="E39" s="69" t="s">
        <v>84</v>
      </c>
      <c r="F39" s="69" t="s">
        <v>85</v>
      </c>
      <c r="G39" s="69" t="s">
        <v>86</v>
      </c>
      <c r="H39" s="69" t="s">
        <v>87</v>
      </c>
      <c r="I39" s="69" t="s">
        <v>88</v>
      </c>
      <c r="J39" s="69" t="s">
        <v>89</v>
      </c>
      <c r="K39" s="70" t="s">
        <v>90</v>
      </c>
      <c r="L39" s="61"/>
      <c r="M39" s="62"/>
      <c r="N39" s="63"/>
      <c r="O39" s="63"/>
      <c r="P39" s="63"/>
      <c r="Q39" s="63"/>
      <c r="R39" s="63"/>
      <c r="S39" s="64"/>
      <c r="T39" s="64"/>
      <c r="U39" s="65"/>
      <c r="V39" s="65"/>
      <c r="W39" s="66"/>
      <c r="X39" s="66"/>
      <c r="Y39" s="64"/>
      <c r="Z39" s="64"/>
      <c r="AA39" s="65"/>
      <c r="AB39" s="67"/>
    </row>
    <row r="40" spans="2:28" s="68" customFormat="1" x14ac:dyDescent="0.25">
      <c r="B40" s="71">
        <v>0.8</v>
      </c>
      <c r="C40" s="72">
        <f>S5*Q5*LN(($C$37-S5)/G5)/0.5/($C$37-S5-G5)/1000</f>
        <v>2.3122195890215253E-5</v>
      </c>
      <c r="D40" s="72">
        <f>T5*Q5*LN(($D$37-T5)/H5)/0.5/($D$37-T5-H5)/1000</f>
        <v>2.5569099566924165E-5</v>
      </c>
      <c r="E40" s="72">
        <f>U5*Q5*LN(($E$37-U5)/I5)/0.5/($E$37-U5-I5)/1000</f>
        <v>2.4647249901324538E-5</v>
      </c>
      <c r="F40" s="72">
        <f>V5*Q5*LN(($F$37-V5)/J5)/0.5/($F$37-V5-J5)/1000</f>
        <v>1.560334214714352E-4</v>
      </c>
      <c r="G40" s="72">
        <f>W5*Q5*LN(($G$37-W5)/K5)/0.5/($G$37-W5-K5)/1000</f>
        <v>1.5116080168652428E-4</v>
      </c>
      <c r="H40" s="94" t="e">
        <f>X5*Q5*LN(($H$37-X5)/L5)/0.5/($H$37-X5-L5)/1000</f>
        <v>#NUM!</v>
      </c>
      <c r="I40" s="72">
        <f>Y5*Q5*LN(($I$37-Y5)/M5)/0.5/($I$37-Y5-M5)/1000</f>
        <v>4.0965797312022688E-4</v>
      </c>
      <c r="J40" s="94" t="e">
        <f>Z5*Q5*LN(($J$37-Z5)/N5)/0.5/($J$37-Z5-N5)/1000</f>
        <v>#NUM!</v>
      </c>
      <c r="K40" s="73">
        <f>AA5*Q5*LN(($K$37-AA5)/O5)/0.5/($K$37-AA5-O5)/1000</f>
        <v>7.6536126875162164E-4</v>
      </c>
      <c r="L40" s="74"/>
      <c r="M40" s="74"/>
      <c r="N40" s="74"/>
      <c r="O40" s="74"/>
      <c r="P40" s="75"/>
      <c r="Q40" s="76"/>
      <c r="R40" s="77"/>
      <c r="S40" s="77"/>
      <c r="T40" s="77"/>
      <c r="U40" s="78"/>
      <c r="V40" s="78"/>
      <c r="W40" s="78"/>
      <c r="X40" s="78"/>
      <c r="Y40" s="78"/>
      <c r="Z40" s="79"/>
      <c r="AB40" s="80"/>
    </row>
    <row r="41" spans="2:28" s="68" customFormat="1" x14ac:dyDescent="0.25">
      <c r="B41" s="71">
        <v>1.6</v>
      </c>
      <c r="C41" s="72">
        <f t="shared" ref="C41:C48" si="4">S6*Q6*LN(($C$37-S6)/G6)/0.5/($C$37-S6-G6)/1000</f>
        <v>3.1282842642238053E-5</v>
      </c>
      <c r="D41" s="72">
        <f t="shared" ref="D41:D48" si="5">T6*Q6*LN(($D$37-T6)/H6)/0.5/($D$37-T6-H6)/1000</f>
        <v>3.5345647987532977E-5</v>
      </c>
      <c r="E41" s="72">
        <f t="shared" ref="E41:E48" si="6">U6*Q6*LN(($E$37-U6)/I6)/0.5/($E$37-U6-I6)/1000</f>
        <v>3.0746627568383294E-5</v>
      </c>
      <c r="F41" s="72">
        <f t="shared" ref="F41:F48" si="7">V6*Q6*LN(($F$37-V6)/J6)/0.5/($F$37-V6-J6)/1000</f>
        <v>1.9848319520082523E-4</v>
      </c>
      <c r="G41" s="72">
        <f t="shared" ref="G41:G48" si="8">W6*Q6*LN(($G$37-W6)/K6)/0.5/($G$37-W6-K6)/1000</f>
        <v>1.9520269275006991E-4</v>
      </c>
      <c r="H41" s="72">
        <f t="shared" ref="H41:H48" si="9">X6*Q6*LN(($H$37-X6)/L6)/0.5/($H$37-X6-L6)/1000</f>
        <v>4.9023688899160287E-3</v>
      </c>
      <c r="I41" s="72">
        <f t="shared" ref="I41:I48" si="10">Y6*Q6*LN(($I$37-Y6)/M6)/0.5/($I$37-Y6-M6)/1000</f>
        <v>7.6796213930433637E-4</v>
      </c>
      <c r="J41" s="72">
        <f t="shared" ref="J41:J48" si="11">Z6*Q6*LN(($J$37-Z6)/N6)/0.5/($J$37-Z6-N6)/1000</f>
        <v>6.1278431813036769E-3</v>
      </c>
      <c r="K41" s="73">
        <f t="shared" ref="K41:K48" si="12">AA6*Q6*LN(($K$37-AA6)/O6)/0.5/($K$37-AA6-O6)/1000</f>
        <v>1.400304274576593E-3</v>
      </c>
      <c r="L41" s="74"/>
      <c r="M41" s="74"/>
      <c r="N41" s="74"/>
      <c r="O41" s="74"/>
      <c r="P41" s="75"/>
      <c r="Q41" s="76"/>
      <c r="R41" s="77"/>
      <c r="S41" s="77"/>
      <c r="T41" s="77"/>
      <c r="U41" s="78"/>
      <c r="V41" s="78"/>
      <c r="W41" s="78"/>
      <c r="X41" s="78"/>
      <c r="Y41" s="78"/>
      <c r="Z41" s="79"/>
      <c r="AB41" s="80"/>
    </row>
    <row r="42" spans="2:28" s="68" customFormat="1" x14ac:dyDescent="0.25">
      <c r="B42" s="71">
        <v>2.4</v>
      </c>
      <c r="C42" s="72">
        <f t="shared" si="4"/>
        <v>3.1947368249529202E-5</v>
      </c>
      <c r="D42" s="72">
        <f t="shared" si="5"/>
        <v>3.6511406804916105E-5</v>
      </c>
      <c r="E42" s="72">
        <f t="shared" si="6"/>
        <v>3.1032152312772811E-5</v>
      </c>
      <c r="F42" s="72">
        <f t="shared" si="7"/>
        <v>1.90257706717614E-4</v>
      </c>
      <c r="G42" s="72">
        <f t="shared" si="8"/>
        <v>1.8473615487492358E-4</v>
      </c>
      <c r="H42" s="72">
        <f t="shared" si="9"/>
        <v>4.236101577858537E-3</v>
      </c>
      <c r="I42" s="72">
        <f t="shared" si="10"/>
        <v>9.1463740083990678E-4</v>
      </c>
      <c r="J42" s="72">
        <f t="shared" si="11"/>
        <v>5.3146158455736536E-3</v>
      </c>
      <c r="K42" s="73">
        <f t="shared" si="12"/>
        <v>1.604156131483707E-3</v>
      </c>
      <c r="L42" s="74"/>
      <c r="M42" s="74"/>
      <c r="N42" s="74"/>
      <c r="O42" s="74"/>
      <c r="P42" s="75"/>
      <c r="Q42" s="76"/>
      <c r="R42" s="77"/>
      <c r="S42" s="77"/>
      <c r="T42" s="77"/>
      <c r="U42" s="78"/>
      <c r="V42" s="78"/>
      <c r="W42" s="78"/>
      <c r="X42" s="78"/>
      <c r="Y42" s="78"/>
      <c r="Z42" s="79"/>
      <c r="AB42" s="80"/>
    </row>
    <row r="43" spans="2:28" s="68" customFormat="1" x14ac:dyDescent="0.25">
      <c r="B43" s="71">
        <v>4</v>
      </c>
      <c r="C43" s="72">
        <f t="shared" si="4"/>
        <v>3.3983787742675895E-5</v>
      </c>
      <c r="D43" s="72">
        <f t="shared" si="5"/>
        <v>4.1981638667400402E-5</v>
      </c>
      <c r="E43" s="72">
        <f t="shared" si="6"/>
        <v>3.285802160300798E-5</v>
      </c>
      <c r="F43" s="72">
        <f t="shared" si="7"/>
        <v>1.9311053601776029E-4</v>
      </c>
      <c r="G43" s="72">
        <f t="shared" si="8"/>
        <v>1.7951306175362794E-4</v>
      </c>
      <c r="H43" s="72">
        <f t="shared" si="9"/>
        <v>4.1898767394359E-3</v>
      </c>
      <c r="I43" s="72">
        <f t="shared" si="10"/>
        <v>1.1338329782797142E-3</v>
      </c>
      <c r="J43" s="72">
        <f t="shared" si="11"/>
        <v>5.1791926134621752E-3</v>
      </c>
      <c r="K43" s="73">
        <f t="shared" si="12"/>
        <v>1.9473389219878128E-3</v>
      </c>
      <c r="L43" s="61"/>
      <c r="M43" s="74"/>
      <c r="N43" s="74"/>
      <c r="O43" s="74"/>
      <c r="P43" s="63"/>
      <c r="Q43" s="81"/>
      <c r="R43" s="82"/>
      <c r="S43" s="82"/>
      <c r="T43" s="77"/>
      <c r="U43" s="72"/>
      <c r="V43" s="72"/>
      <c r="W43" s="72"/>
      <c r="X43" s="72"/>
      <c r="Y43" s="82"/>
      <c r="Z43" s="82"/>
      <c r="AA43" s="65"/>
      <c r="AB43" s="67"/>
    </row>
    <row r="44" spans="2:28" s="68" customFormat="1" x14ac:dyDescent="0.25">
      <c r="B44" s="71">
        <v>5.6</v>
      </c>
      <c r="C44" s="72">
        <f t="shared" si="4"/>
        <v>3.7753371587948429E-5</v>
      </c>
      <c r="D44" s="72">
        <f t="shared" si="5"/>
        <v>4.7837644897685231E-5</v>
      </c>
      <c r="E44" s="72">
        <f t="shared" si="6"/>
        <v>3.5319848965264196E-5</v>
      </c>
      <c r="F44" s="72">
        <f t="shared" si="7"/>
        <v>1.877392332807838E-4</v>
      </c>
      <c r="G44" s="72">
        <f t="shared" si="8"/>
        <v>1.6913030285081417E-4</v>
      </c>
      <c r="H44" s="72">
        <f t="shared" si="9"/>
        <v>4.0740292552998089E-3</v>
      </c>
      <c r="I44" s="72">
        <f t="shared" si="10"/>
        <v>1.2771153056543927E-3</v>
      </c>
      <c r="J44" s="72">
        <f t="shared" si="11"/>
        <v>5.1580683517581383E-3</v>
      </c>
      <c r="K44" s="73">
        <f t="shared" si="12"/>
        <v>2.1056212200717844E-3</v>
      </c>
      <c r="L44" s="61"/>
      <c r="M44" s="74"/>
      <c r="N44" s="74"/>
      <c r="O44" s="74"/>
      <c r="P44" s="63"/>
      <c r="Q44" s="81"/>
      <c r="R44" s="82"/>
      <c r="S44" s="82"/>
      <c r="T44" s="77"/>
      <c r="U44" s="72"/>
      <c r="V44" s="72"/>
      <c r="W44" s="72"/>
      <c r="X44" s="72"/>
      <c r="Y44" s="82"/>
      <c r="Z44" s="82"/>
      <c r="AA44" s="65"/>
      <c r="AB44" s="67"/>
    </row>
    <row r="45" spans="2:28" s="68" customFormat="1" x14ac:dyDescent="0.25">
      <c r="B45" s="71">
        <v>7.2</v>
      </c>
      <c r="C45" s="72">
        <f t="shared" si="4"/>
        <v>4.1390126358462087E-5</v>
      </c>
      <c r="D45" s="72">
        <f t="shared" si="5"/>
        <v>5.201109410170651E-5</v>
      </c>
      <c r="E45" s="72">
        <f t="shared" si="6"/>
        <v>3.7204399857913292E-5</v>
      </c>
      <c r="F45" s="72">
        <f t="shared" si="7"/>
        <v>1.8523791887167847E-4</v>
      </c>
      <c r="G45" s="72">
        <f t="shared" si="8"/>
        <v>1.6608241608210902E-4</v>
      </c>
      <c r="H45" s="72">
        <f t="shared" si="9"/>
        <v>4.160487879652495E-3</v>
      </c>
      <c r="I45" s="72">
        <f t="shared" si="10"/>
        <v>1.3702688393066025E-3</v>
      </c>
      <c r="J45" s="72">
        <f t="shared" si="11"/>
        <v>5.2068262959685573E-3</v>
      </c>
      <c r="K45" s="73">
        <f t="shared" si="12"/>
        <v>2.275638057714234E-3</v>
      </c>
      <c r="L45" s="61"/>
      <c r="M45" s="74"/>
      <c r="N45" s="74"/>
      <c r="O45" s="74"/>
      <c r="P45" s="63"/>
      <c r="Q45" s="81"/>
      <c r="R45" s="82"/>
      <c r="S45" s="82"/>
      <c r="T45" s="77"/>
      <c r="U45" s="72"/>
      <c r="V45" s="72"/>
      <c r="W45" s="72"/>
      <c r="X45" s="72"/>
      <c r="Y45" s="82"/>
      <c r="Z45" s="82"/>
      <c r="AA45" s="65"/>
      <c r="AB45" s="67"/>
    </row>
    <row r="46" spans="2:28" s="68" customFormat="1" x14ac:dyDescent="0.25">
      <c r="B46" s="71">
        <v>8.8000000000000007</v>
      </c>
      <c r="C46" s="72">
        <f t="shared" si="4"/>
        <v>4.7009384766879385E-5</v>
      </c>
      <c r="D46" s="72">
        <f t="shared" si="5"/>
        <v>6.0874764731331388E-5</v>
      </c>
      <c r="E46" s="72">
        <f t="shared" si="6"/>
        <v>4.2413146211192258E-5</v>
      </c>
      <c r="F46" s="72">
        <f t="shared" si="7"/>
        <v>1.9775862428622891E-4</v>
      </c>
      <c r="G46" s="72">
        <f t="shared" si="8"/>
        <v>1.7398087746683512E-4</v>
      </c>
      <c r="H46" s="72">
        <f t="shared" si="9"/>
        <v>4.1848059478241861E-3</v>
      </c>
      <c r="I46" s="72">
        <f t="shared" si="10"/>
        <v>1.4739797177249234E-3</v>
      </c>
      <c r="J46" s="72">
        <f t="shared" si="11"/>
        <v>5.3194650855661061E-3</v>
      </c>
      <c r="K46" s="73">
        <f t="shared" si="12"/>
        <v>2.4227154996507038E-3</v>
      </c>
      <c r="L46" s="61"/>
      <c r="M46" s="74"/>
      <c r="N46" s="74"/>
      <c r="O46" s="74"/>
      <c r="P46" s="63"/>
      <c r="Q46" s="81"/>
      <c r="R46" s="82"/>
      <c r="S46" s="82"/>
      <c r="T46" s="77"/>
      <c r="U46" s="72"/>
      <c r="V46" s="72"/>
      <c r="W46" s="72"/>
      <c r="X46" s="72"/>
      <c r="Y46" s="82"/>
      <c r="Z46" s="82"/>
      <c r="AA46" s="65"/>
      <c r="AB46" s="67"/>
    </row>
    <row r="47" spans="2:28" s="68" customFormat="1" x14ac:dyDescent="0.25">
      <c r="B47" s="71">
        <v>10.4</v>
      </c>
      <c r="C47" s="72">
        <f t="shared" si="4"/>
        <v>5.2078858163161035E-5</v>
      </c>
      <c r="D47" s="72">
        <f t="shared" si="5"/>
        <v>6.5042240096645167E-5</v>
      </c>
      <c r="E47" s="72">
        <f t="shared" si="6"/>
        <v>4.5354023599728494E-5</v>
      </c>
      <c r="F47" s="72">
        <f t="shared" si="7"/>
        <v>1.7774983160284455E-4</v>
      </c>
      <c r="G47" s="72">
        <f t="shared" si="8"/>
        <v>1.541070467600304E-4</v>
      </c>
      <c r="H47" s="72">
        <f t="shared" si="9"/>
        <v>4.2499460381360977E-3</v>
      </c>
      <c r="I47" s="72">
        <f t="shared" si="10"/>
        <v>1.4874461772088387E-3</v>
      </c>
      <c r="J47" s="72">
        <f t="shared" si="11"/>
        <v>5.3415962737071018E-3</v>
      </c>
      <c r="K47" s="73">
        <f t="shared" si="12"/>
        <v>2.5042210535320751E-3</v>
      </c>
      <c r="L47" s="74"/>
      <c r="M47" s="74"/>
      <c r="N47" s="74"/>
      <c r="O47" s="74"/>
      <c r="P47" s="75"/>
      <c r="Q47" s="76"/>
      <c r="R47" s="77"/>
      <c r="S47" s="77"/>
      <c r="T47" s="77"/>
      <c r="U47" s="78"/>
      <c r="V47" s="78"/>
      <c r="W47" s="78"/>
      <c r="X47" s="78"/>
      <c r="Y47" s="78"/>
      <c r="Z47" s="79"/>
      <c r="AB47" s="80"/>
    </row>
    <row r="48" spans="2:28" s="68" customFormat="1" x14ac:dyDescent="0.25">
      <c r="B48" s="83">
        <v>12</v>
      </c>
      <c r="C48" s="84">
        <f t="shared" si="4"/>
        <v>5.3561983549403879E-5</v>
      </c>
      <c r="D48" s="84">
        <f t="shared" si="5"/>
        <v>7.0113392121032745E-5</v>
      </c>
      <c r="E48" s="84">
        <f t="shared" si="6"/>
        <v>4.8152924582615875E-5</v>
      </c>
      <c r="F48" s="84">
        <f t="shared" si="7"/>
        <v>1.7888664569439623E-4</v>
      </c>
      <c r="G48" s="84">
        <f t="shared" si="8"/>
        <v>1.5877593727034212E-4</v>
      </c>
      <c r="H48" s="84">
        <f t="shared" si="9"/>
        <v>4.267509704318424E-3</v>
      </c>
      <c r="I48" s="84">
        <f t="shared" si="10"/>
        <v>1.5502515751204479E-3</v>
      </c>
      <c r="J48" s="84">
        <f t="shared" si="11"/>
        <v>5.3091513387983026E-3</v>
      </c>
      <c r="K48" s="85">
        <f t="shared" si="12"/>
        <v>2.641464516112605E-3</v>
      </c>
      <c r="L48" s="74"/>
      <c r="M48" s="74"/>
      <c r="N48" s="74"/>
      <c r="O48" s="74"/>
      <c r="P48" s="75"/>
      <c r="Q48" s="76"/>
      <c r="R48" s="77"/>
      <c r="S48" s="77"/>
      <c r="T48" s="77"/>
      <c r="U48" s="78"/>
      <c r="V48" s="78"/>
      <c r="W48" s="78"/>
      <c r="X48" s="78"/>
      <c r="Y48" s="78"/>
      <c r="Z48" s="79"/>
      <c r="AB48" s="80"/>
    </row>
  </sheetData>
  <mergeCells count="10">
    <mergeCell ref="B35:AB35"/>
    <mergeCell ref="B38:B39"/>
    <mergeCell ref="C38:K38"/>
    <mergeCell ref="B36:B37"/>
    <mergeCell ref="B2:AB2"/>
    <mergeCell ref="AB3:AB4"/>
    <mergeCell ref="P3:AA3"/>
    <mergeCell ref="D3:O3"/>
    <mergeCell ref="B3:B4"/>
    <mergeCell ref="C3:C4"/>
  </mergeCells>
  <phoneticPr fontId="1" type="noConversion"/>
  <pageMargins left="0.25" right="0.25" top="0.75" bottom="0.75" header="0.3" footer="0.3"/>
  <pageSetup paperSize="9" scale="51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11</xdr:col>
                <xdr:colOff>285750</xdr:colOff>
                <xdr:row>38</xdr:row>
                <xdr:rowOff>180975</xdr:rowOff>
              </from>
              <to>
                <xdr:col>16</xdr:col>
                <xdr:colOff>704850</xdr:colOff>
                <xdr:row>43</xdr:row>
                <xdr:rowOff>104775</xdr:rowOff>
              </to>
            </anchor>
          </objectPr>
        </oleObject>
      </mc:Choice>
      <mc:Fallback>
        <oleObject progId="Equation.DSMT4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4"/>
  <sheetViews>
    <sheetView zoomScale="70" zoomScaleNormal="70" workbookViewId="0">
      <selection activeCell="S26" sqref="S26"/>
    </sheetView>
  </sheetViews>
  <sheetFormatPr defaultRowHeight="15" x14ac:dyDescent="0.15"/>
  <cols>
    <col min="1" max="1" width="4.625" style="2" customWidth="1"/>
    <col min="2" max="2" width="48.75" style="2" customWidth="1"/>
    <col min="3" max="3" width="10.75" style="2" customWidth="1"/>
    <col min="4" max="4" width="9" style="2"/>
    <col min="5" max="5" width="33.875" style="5" customWidth="1"/>
    <col min="6" max="6" width="4.625" style="2" customWidth="1"/>
    <col min="7" max="9" width="9" style="2"/>
    <col min="10" max="10" width="11.625" style="2" customWidth="1"/>
    <col min="11" max="11" width="11.5" style="2" customWidth="1"/>
    <col min="12" max="16384" width="9" style="2"/>
  </cols>
  <sheetData>
    <row r="2" spans="2:14" x14ac:dyDescent="0.15">
      <c r="B2" s="117" t="s">
        <v>56</v>
      </c>
      <c r="C2" s="118"/>
      <c r="D2" s="118"/>
      <c r="E2" s="118"/>
      <c r="F2" s="1"/>
      <c r="G2" s="1"/>
      <c r="H2" s="1"/>
      <c r="I2" s="1"/>
      <c r="J2" s="1"/>
      <c r="K2" s="1"/>
      <c r="L2" s="1"/>
      <c r="M2" s="1"/>
    </row>
    <row r="3" spans="2:14" x14ac:dyDescent="0.15">
      <c r="B3" s="6" t="s">
        <v>59</v>
      </c>
      <c r="C3" s="7"/>
      <c r="D3" s="7"/>
      <c r="E3" s="8"/>
      <c r="G3" s="2" t="s">
        <v>114</v>
      </c>
    </row>
    <row r="4" spans="2:14" ht="18" x14ac:dyDescent="0.15">
      <c r="B4" s="9" t="s">
        <v>91</v>
      </c>
      <c r="C4" s="12">
        <v>540</v>
      </c>
      <c r="D4" s="10" t="s">
        <v>2</v>
      </c>
      <c r="E4" s="11"/>
      <c r="G4" s="119" t="s">
        <v>50</v>
      </c>
      <c r="H4" s="113" t="s">
        <v>61</v>
      </c>
      <c r="I4" s="113" t="s">
        <v>62</v>
      </c>
      <c r="J4" s="113" t="s">
        <v>106</v>
      </c>
      <c r="K4" s="113" t="s">
        <v>105</v>
      </c>
      <c r="L4" s="115" t="s">
        <v>63</v>
      </c>
    </row>
    <row r="5" spans="2:14" ht="18" x14ac:dyDescent="0.15">
      <c r="B5" s="9" t="s">
        <v>92</v>
      </c>
      <c r="C5" s="37">
        <v>366.8</v>
      </c>
      <c r="D5" s="10" t="s">
        <v>3</v>
      </c>
      <c r="E5" s="11"/>
      <c r="G5" s="120"/>
      <c r="H5" s="114"/>
      <c r="I5" s="114"/>
      <c r="J5" s="114"/>
      <c r="K5" s="114"/>
      <c r="L5" s="116"/>
      <c r="N5" s="3"/>
    </row>
    <row r="6" spans="2:14" ht="18" x14ac:dyDescent="0.15">
      <c r="B6" s="9" t="s">
        <v>4</v>
      </c>
      <c r="C6" s="14">
        <v>4000</v>
      </c>
      <c r="D6" s="10" t="s">
        <v>94</v>
      </c>
      <c r="E6" s="11"/>
      <c r="G6" s="88">
        <v>0.8</v>
      </c>
      <c r="H6" s="89">
        <v>80.2</v>
      </c>
      <c r="I6" s="89">
        <v>969.5</v>
      </c>
      <c r="J6" s="89">
        <v>279.5</v>
      </c>
      <c r="K6" s="89">
        <v>99.2</v>
      </c>
      <c r="L6" s="90">
        <f>SUM(I6:K6)</f>
        <v>1348.2</v>
      </c>
      <c r="N6" s="3"/>
    </row>
    <row r="7" spans="2:14" ht="18" x14ac:dyDescent="0.15">
      <c r="B7" s="9" t="s">
        <v>93</v>
      </c>
      <c r="C7" s="12">
        <v>100</v>
      </c>
      <c r="D7" s="10" t="s">
        <v>94</v>
      </c>
      <c r="E7" s="11"/>
      <c r="G7" s="88">
        <v>1.6</v>
      </c>
      <c r="H7" s="89">
        <v>38.4</v>
      </c>
      <c r="I7" s="89">
        <v>414.1</v>
      </c>
      <c r="J7" s="89">
        <v>258.5</v>
      </c>
      <c r="K7" s="89">
        <v>116.3</v>
      </c>
      <c r="L7" s="90">
        <f>SUM(I7:K7)</f>
        <v>788.9</v>
      </c>
      <c r="N7" s="3"/>
    </row>
    <row r="8" spans="2:14" x14ac:dyDescent="0.15">
      <c r="B8" s="9" t="s">
        <v>5</v>
      </c>
      <c r="C8" s="15">
        <f>C4*C7</f>
        <v>54000</v>
      </c>
      <c r="D8" s="10" t="s">
        <v>6</v>
      </c>
      <c r="E8" s="11"/>
      <c r="G8" s="88">
        <v>2.4</v>
      </c>
      <c r="H8" s="89">
        <v>29.1</v>
      </c>
      <c r="I8" s="89">
        <v>294.3</v>
      </c>
      <c r="J8" s="89">
        <v>245.9</v>
      </c>
      <c r="K8" s="89">
        <v>134.69999999999999</v>
      </c>
      <c r="L8" s="90">
        <f t="shared" ref="L8:L14" si="0">SUM(I8:K8)</f>
        <v>674.90000000000009</v>
      </c>
      <c r="N8" s="3"/>
    </row>
    <row r="9" spans="2:14" x14ac:dyDescent="0.15">
      <c r="B9" s="9"/>
      <c r="C9" s="15">
        <f>C8/24</f>
        <v>2250</v>
      </c>
      <c r="D9" s="10" t="s">
        <v>15</v>
      </c>
      <c r="E9" s="11"/>
      <c r="G9" s="88">
        <v>4</v>
      </c>
      <c r="H9" s="89">
        <v>22.9</v>
      </c>
      <c r="I9" s="89">
        <v>214.3</v>
      </c>
      <c r="J9" s="89">
        <v>238.6</v>
      </c>
      <c r="K9" s="89">
        <v>173.4</v>
      </c>
      <c r="L9" s="90">
        <f t="shared" si="0"/>
        <v>626.29999999999995</v>
      </c>
      <c r="N9" s="3"/>
    </row>
    <row r="10" spans="2:14" x14ac:dyDescent="0.15">
      <c r="B10" s="9"/>
      <c r="C10" s="10"/>
      <c r="D10" s="10"/>
      <c r="E10" s="11"/>
      <c r="G10" s="88">
        <v>5.6</v>
      </c>
      <c r="H10" s="89">
        <v>20.5</v>
      </c>
      <c r="I10" s="89">
        <v>181.2</v>
      </c>
      <c r="J10" s="89">
        <v>239.4</v>
      </c>
      <c r="K10" s="89">
        <v>209.5</v>
      </c>
      <c r="L10" s="90">
        <f t="shared" si="0"/>
        <v>630.1</v>
      </c>
      <c r="N10" s="3"/>
    </row>
    <row r="11" spans="2:14" x14ac:dyDescent="0.15">
      <c r="B11" s="16" t="s">
        <v>46</v>
      </c>
      <c r="C11" s="17"/>
      <c r="D11" s="17"/>
      <c r="E11" s="18"/>
      <c r="G11" s="88">
        <v>7.2</v>
      </c>
      <c r="H11" s="89">
        <v>18.8</v>
      </c>
      <c r="I11" s="89">
        <v>160.80000000000001</v>
      </c>
      <c r="J11" s="89">
        <v>235.4</v>
      </c>
      <c r="K11" s="89">
        <v>241.1</v>
      </c>
      <c r="L11" s="90">
        <f t="shared" si="0"/>
        <v>637.30000000000007</v>
      </c>
      <c r="N11" s="3"/>
    </row>
    <row r="12" spans="2:14" ht="18" x14ac:dyDescent="0.15">
      <c r="B12" s="9" t="s">
        <v>64</v>
      </c>
      <c r="C12" s="35">
        <v>4</v>
      </c>
      <c r="D12" s="10" t="s">
        <v>95</v>
      </c>
      <c r="E12" s="36" t="s">
        <v>48</v>
      </c>
      <c r="G12" s="88">
        <v>8.8000000000000007</v>
      </c>
      <c r="H12" s="89">
        <v>17.5</v>
      </c>
      <c r="I12" s="89">
        <v>147.19999999999999</v>
      </c>
      <c r="J12" s="89">
        <v>228.9</v>
      </c>
      <c r="K12" s="89">
        <v>270.7</v>
      </c>
      <c r="L12" s="90">
        <f t="shared" si="0"/>
        <v>646.79999999999995</v>
      </c>
      <c r="N12" s="3"/>
    </row>
    <row r="13" spans="2:14" ht="18" x14ac:dyDescent="0.15">
      <c r="B13" s="9" t="s">
        <v>17</v>
      </c>
      <c r="C13" s="19">
        <v>0.5</v>
      </c>
      <c r="D13" s="10" t="s">
        <v>96</v>
      </c>
      <c r="E13" s="11"/>
      <c r="G13" s="88">
        <v>10.4</v>
      </c>
      <c r="H13" s="89">
        <v>16.8</v>
      </c>
      <c r="I13" s="89">
        <v>138.6</v>
      </c>
      <c r="J13" s="89">
        <v>229</v>
      </c>
      <c r="K13" s="89">
        <v>301.39999999999998</v>
      </c>
      <c r="L13" s="90">
        <f t="shared" si="0"/>
        <v>669</v>
      </c>
      <c r="N13" s="3"/>
    </row>
    <row r="14" spans="2:14" ht="18" x14ac:dyDescent="0.15">
      <c r="B14" s="9" t="s">
        <v>8</v>
      </c>
      <c r="C14" s="20">
        <f xml:space="preserve"> (-0.0066773*(C12*C13)^2 + 1.0467*(C12*C13))/C13</f>
        <v>4.1333815999999999</v>
      </c>
      <c r="D14" s="10" t="s">
        <v>95</v>
      </c>
      <c r="E14" s="11" t="s">
        <v>51</v>
      </c>
      <c r="G14" s="91">
        <v>12</v>
      </c>
      <c r="H14" s="92">
        <v>16.2</v>
      </c>
      <c r="I14" s="92">
        <v>130.69999999999999</v>
      </c>
      <c r="J14" s="92">
        <v>229.7</v>
      </c>
      <c r="K14" s="92">
        <v>327.60000000000002</v>
      </c>
      <c r="L14" s="93">
        <f t="shared" si="0"/>
        <v>688</v>
      </c>
      <c r="N14" s="3"/>
    </row>
    <row r="15" spans="2:14" ht="18" x14ac:dyDescent="0.15">
      <c r="B15" s="9" t="s">
        <v>9</v>
      </c>
      <c r="C15" s="20">
        <f xml:space="preserve"> (-0.01366*(C12*C13)^2 + 1.009*(C12*C13))/C13</f>
        <v>3.9267199999999995</v>
      </c>
      <c r="D15" s="10" t="s">
        <v>95</v>
      </c>
      <c r="E15" s="11" t="s">
        <v>52</v>
      </c>
      <c r="N15" s="3"/>
    </row>
    <row r="16" spans="2:14" x14ac:dyDescent="0.15">
      <c r="B16" s="9" t="s">
        <v>7</v>
      </c>
      <c r="C16" s="21">
        <f xml:space="preserve"> 0.33924 * C12^-1.0187</f>
        <v>8.2639663739291325E-2</v>
      </c>
      <c r="D16" s="10"/>
      <c r="E16" s="11" t="s">
        <v>52</v>
      </c>
    </row>
    <row r="17" spans="2:5" ht="18" x14ac:dyDescent="0.15">
      <c r="B17" s="9" t="s">
        <v>97</v>
      </c>
      <c r="C17" s="22">
        <f>C14*(1-C16)</f>
        <v>3.7918003344698259</v>
      </c>
      <c r="D17" s="10" t="s">
        <v>95</v>
      </c>
      <c r="E17" s="11"/>
    </row>
    <row r="18" spans="2:5" ht="18" x14ac:dyDescent="0.15">
      <c r="B18" s="9" t="s">
        <v>10</v>
      </c>
      <c r="C18" s="22">
        <f>C15*(1+C16)</f>
        <v>4.2512228203983495</v>
      </c>
      <c r="D18" s="10" t="s">
        <v>95</v>
      </c>
      <c r="E18" s="11"/>
    </row>
    <row r="19" spans="2:5" ht="18" x14ac:dyDescent="0.15">
      <c r="B19" s="9" t="s">
        <v>98</v>
      </c>
      <c r="C19" s="23">
        <f xml:space="preserve"> 0.000000025115*C12^5 + 0.00000012447*C12^4 - 0.000026022*C12^3 + 0.0004778*C12^2 - 0.0038453*C12 + 0.018119</f>
        <v>8.7747740800000005E-3</v>
      </c>
      <c r="D19" s="10" t="s">
        <v>11</v>
      </c>
      <c r="E19" s="11" t="s">
        <v>52</v>
      </c>
    </row>
    <row r="20" spans="2:5" x14ac:dyDescent="0.15">
      <c r="B20" s="9"/>
      <c r="C20" s="24">
        <f>C19*35.5*1000</f>
        <v>311.50447983999999</v>
      </c>
      <c r="D20" s="10" t="s">
        <v>12</v>
      </c>
      <c r="E20" s="11"/>
    </row>
    <row r="21" spans="2:5" ht="18" x14ac:dyDescent="0.15">
      <c r="B21" s="9" t="s">
        <v>113</v>
      </c>
      <c r="C21" s="25">
        <f xml:space="preserve"> -0.000035243*C12^5  + 0.001438*C12^4 - 0.022981*C12^3 + 0.18453*C12^2 - 0.81479*C12 + 2.3058</f>
        <v>0.86037516800000002</v>
      </c>
      <c r="D21" s="10" t="s">
        <v>11</v>
      </c>
      <c r="E21" s="11" t="s">
        <v>52</v>
      </c>
    </row>
    <row r="22" spans="2:5" x14ac:dyDescent="0.15">
      <c r="B22" s="9"/>
      <c r="C22" s="24">
        <f>C21*96</f>
        <v>82.596016128000002</v>
      </c>
      <c r="D22" s="10" t="s">
        <v>3</v>
      </c>
      <c r="E22" s="11"/>
    </row>
    <row r="23" spans="2:5" ht="18" x14ac:dyDescent="0.15">
      <c r="B23" s="9" t="s">
        <v>13</v>
      </c>
      <c r="C23" s="26">
        <f>C20*C17/1000</f>
        <v>1.181162790846161</v>
      </c>
      <c r="D23" s="10" t="s">
        <v>99</v>
      </c>
      <c r="E23" s="11"/>
    </row>
    <row r="24" spans="2:5" x14ac:dyDescent="0.15">
      <c r="B24" s="9"/>
      <c r="C24" s="26"/>
      <c r="D24" s="10"/>
      <c r="E24" s="11"/>
    </row>
    <row r="25" spans="2:5" x14ac:dyDescent="0.15">
      <c r="B25" s="16" t="s">
        <v>44</v>
      </c>
      <c r="C25" s="27"/>
      <c r="D25" s="27"/>
      <c r="E25" s="28"/>
    </row>
    <row r="26" spans="2:5" ht="18" x14ac:dyDescent="0.15">
      <c r="B26" s="9" t="s">
        <v>14</v>
      </c>
      <c r="C26" s="24">
        <f>C9/C23</f>
        <v>1904.9025396305835</v>
      </c>
      <c r="D26" s="10" t="s">
        <v>96</v>
      </c>
      <c r="E26" s="11"/>
    </row>
    <row r="27" spans="2:5" x14ac:dyDescent="0.15">
      <c r="B27" s="9" t="s">
        <v>16</v>
      </c>
      <c r="C27" s="15">
        <f>C14*C26</f>
        <v>7873.6891071023247</v>
      </c>
      <c r="D27" s="10" t="s">
        <v>18</v>
      </c>
      <c r="E27" s="11"/>
    </row>
    <row r="28" spans="2:5" ht="18" x14ac:dyDescent="0.15">
      <c r="B28" s="9"/>
      <c r="C28" s="24">
        <f>C27*24/1000</f>
        <v>188.96853857045579</v>
      </c>
      <c r="D28" s="10" t="s">
        <v>94</v>
      </c>
      <c r="E28" s="11"/>
    </row>
    <row r="29" spans="2:5" x14ac:dyDescent="0.15">
      <c r="B29" s="9" t="s">
        <v>19</v>
      </c>
      <c r="C29" s="15">
        <f>C15*C26</f>
        <v>7480.0189004182039</v>
      </c>
      <c r="D29" s="10" t="s">
        <v>18</v>
      </c>
      <c r="E29" s="11"/>
    </row>
    <row r="30" spans="2:5" ht="18" x14ac:dyDescent="0.15">
      <c r="B30" s="9"/>
      <c r="C30" s="24">
        <f>C29*24/1000</f>
        <v>179.5204536100369</v>
      </c>
      <c r="D30" s="10" t="s">
        <v>94</v>
      </c>
      <c r="E30" s="11"/>
    </row>
    <row r="31" spans="2:5" ht="16.5" x14ac:dyDescent="0.15">
      <c r="B31" s="9" t="s">
        <v>107</v>
      </c>
      <c r="C31" s="15">
        <f>C17*C26</f>
        <v>7223.0100869036678</v>
      </c>
      <c r="D31" s="10" t="s">
        <v>18</v>
      </c>
      <c r="E31" s="11"/>
    </row>
    <row r="32" spans="2:5" ht="18" x14ac:dyDescent="0.15">
      <c r="B32" s="9"/>
      <c r="C32" s="24">
        <f>C31*24/1000</f>
        <v>173.35224208568803</v>
      </c>
      <c r="D32" s="10" t="s">
        <v>94</v>
      </c>
      <c r="E32" s="11"/>
    </row>
    <row r="33" spans="2:5" x14ac:dyDescent="0.15">
      <c r="B33" s="9" t="s">
        <v>20</v>
      </c>
      <c r="C33" s="15">
        <f>C18*C26</f>
        <v>8098.1651471123077</v>
      </c>
      <c r="D33" s="10" t="s">
        <v>18</v>
      </c>
      <c r="E33" s="11"/>
    </row>
    <row r="34" spans="2:5" ht="18" x14ac:dyDescent="0.15">
      <c r="B34" s="9"/>
      <c r="C34" s="24">
        <f>C33*24/1000</f>
        <v>194.35596353069539</v>
      </c>
      <c r="D34" s="10" t="s">
        <v>94</v>
      </c>
      <c r="E34" s="11"/>
    </row>
    <row r="35" spans="2:5" ht="18" x14ac:dyDescent="0.15">
      <c r="B35" s="9" t="s">
        <v>57</v>
      </c>
      <c r="C35" s="24">
        <f>C21*C31</f>
        <v>6214.4985169854381</v>
      </c>
      <c r="D35" s="10" t="s">
        <v>22</v>
      </c>
      <c r="E35" s="11"/>
    </row>
    <row r="36" spans="2:5" ht="16.5" x14ac:dyDescent="0.15">
      <c r="B36" s="9" t="s">
        <v>58</v>
      </c>
      <c r="C36" s="24">
        <f>C35*100*24/1000000</f>
        <v>14.91479644076505</v>
      </c>
      <c r="D36" s="10" t="s">
        <v>23</v>
      </c>
      <c r="E36" s="11" t="s">
        <v>103</v>
      </c>
    </row>
    <row r="37" spans="2:5" ht="18" x14ac:dyDescent="0.15">
      <c r="B37" s="9"/>
      <c r="C37" s="24">
        <f>C36/1.84</f>
        <v>8.1058676308505699</v>
      </c>
      <c r="D37" s="10" t="s">
        <v>94</v>
      </c>
      <c r="E37" s="11" t="s">
        <v>100</v>
      </c>
    </row>
    <row r="38" spans="2:5" ht="18" x14ac:dyDescent="0.15">
      <c r="B38" s="29" t="s">
        <v>21</v>
      </c>
      <c r="C38" s="30">
        <f>C34-C30+C37</f>
        <v>22.941377551509063</v>
      </c>
      <c r="D38" s="10" t="s">
        <v>94</v>
      </c>
      <c r="E38" s="11" t="s">
        <v>102</v>
      </c>
    </row>
    <row r="39" spans="2:5" x14ac:dyDescent="0.15">
      <c r="B39" s="9"/>
      <c r="C39" s="10"/>
      <c r="D39" s="10"/>
      <c r="E39" s="11"/>
    </row>
    <row r="40" spans="2:5" x14ac:dyDescent="0.15">
      <c r="B40" s="16" t="s">
        <v>47</v>
      </c>
      <c r="C40" s="17"/>
      <c r="D40" s="17"/>
      <c r="E40" s="18"/>
    </row>
    <row r="41" spans="2:5" ht="18" x14ac:dyDescent="0.15">
      <c r="B41" s="9" t="s">
        <v>24</v>
      </c>
      <c r="C41" s="12">
        <v>60</v>
      </c>
      <c r="D41" s="10" t="s">
        <v>101</v>
      </c>
      <c r="E41" s="11" t="s">
        <v>25</v>
      </c>
    </row>
    <row r="42" spans="2:5" ht="18" x14ac:dyDescent="0.15">
      <c r="B42" s="9" t="s">
        <v>27</v>
      </c>
      <c r="C42" s="24">
        <f>C26/0.8</f>
        <v>2381.1281745382294</v>
      </c>
      <c r="D42" s="10" t="s">
        <v>96</v>
      </c>
      <c r="E42" s="11" t="s">
        <v>28</v>
      </c>
    </row>
    <row r="43" spans="2:5" x14ac:dyDescent="0.15">
      <c r="B43" s="9" t="s">
        <v>26</v>
      </c>
      <c r="C43" s="15">
        <f>C41*C42</f>
        <v>142867.69047229376</v>
      </c>
      <c r="D43" s="10" t="s">
        <v>36</v>
      </c>
      <c r="E43" s="11"/>
    </row>
    <row r="44" spans="2:5" x14ac:dyDescent="0.15">
      <c r="B44" s="9" t="s">
        <v>29</v>
      </c>
      <c r="C44" s="15">
        <f>C43*1.5</f>
        <v>214301.53570844064</v>
      </c>
      <c r="D44" s="10" t="s">
        <v>36</v>
      </c>
      <c r="E44" s="11" t="s">
        <v>30</v>
      </c>
    </row>
    <row r="45" spans="2:5" x14ac:dyDescent="0.15">
      <c r="B45" s="9" t="s">
        <v>35</v>
      </c>
      <c r="C45" s="15">
        <f>C44*0.5</f>
        <v>107150.76785422032</v>
      </c>
      <c r="D45" s="10" t="s">
        <v>36</v>
      </c>
      <c r="E45" s="11" t="s">
        <v>31</v>
      </c>
    </row>
    <row r="46" spans="2:5" x14ac:dyDescent="0.15">
      <c r="B46" s="9" t="s">
        <v>33</v>
      </c>
      <c r="C46" s="12">
        <v>5</v>
      </c>
      <c r="D46" s="10" t="s">
        <v>34</v>
      </c>
      <c r="E46" s="11"/>
    </row>
    <row r="47" spans="2:5" x14ac:dyDescent="0.15">
      <c r="B47" s="29" t="s">
        <v>39</v>
      </c>
      <c r="C47" s="15">
        <f>C44+C45</f>
        <v>321452.30356266093</v>
      </c>
      <c r="D47" s="10" t="s">
        <v>36</v>
      </c>
      <c r="E47" s="11" t="s">
        <v>32</v>
      </c>
    </row>
    <row r="48" spans="2:5" x14ac:dyDescent="0.15">
      <c r="B48" s="9"/>
      <c r="C48" s="30">
        <f>C47/C46/300</f>
        <v>214.30153570844061</v>
      </c>
      <c r="D48" s="10" t="s">
        <v>37</v>
      </c>
      <c r="E48" s="11" t="s">
        <v>45</v>
      </c>
    </row>
    <row r="49" spans="2:5" ht="18" x14ac:dyDescent="0.15">
      <c r="B49" s="9" t="s">
        <v>108</v>
      </c>
      <c r="C49" s="19">
        <v>1</v>
      </c>
      <c r="D49" s="10" t="s">
        <v>104</v>
      </c>
      <c r="E49" s="11"/>
    </row>
    <row r="50" spans="2:5" ht="17.25" x14ac:dyDescent="0.15">
      <c r="B50" s="29" t="s">
        <v>109</v>
      </c>
      <c r="C50" s="30">
        <f>C49*C32</f>
        <v>173.35224208568803</v>
      </c>
      <c r="D50" s="10" t="s">
        <v>37</v>
      </c>
      <c r="E50" s="11"/>
    </row>
    <row r="51" spans="2:5" ht="16.5" x14ac:dyDescent="0.15">
      <c r="B51" s="9" t="s">
        <v>111</v>
      </c>
      <c r="C51" s="13">
        <v>16</v>
      </c>
      <c r="D51" s="10" t="s">
        <v>38</v>
      </c>
      <c r="E51" s="11" t="s">
        <v>112</v>
      </c>
    </row>
    <row r="52" spans="2:5" ht="17.25" x14ac:dyDescent="0.15">
      <c r="B52" s="29" t="s">
        <v>110</v>
      </c>
      <c r="C52" s="30">
        <f>C51*C36</f>
        <v>238.6367430522408</v>
      </c>
      <c r="D52" s="10" t="s">
        <v>37</v>
      </c>
      <c r="E52" s="11"/>
    </row>
    <row r="53" spans="2:5" x14ac:dyDescent="0.15">
      <c r="B53" s="9"/>
      <c r="C53" s="10"/>
      <c r="D53" s="10"/>
      <c r="E53" s="11"/>
    </row>
    <row r="54" spans="2:5" x14ac:dyDescent="0.15">
      <c r="B54" s="31" t="s">
        <v>40</v>
      </c>
      <c r="C54" s="32">
        <f>C48+C50+C52</f>
        <v>626.29052084636942</v>
      </c>
      <c r="D54" s="33" t="s">
        <v>37</v>
      </c>
      <c r="E54" s="34" t="s">
        <v>49</v>
      </c>
    </row>
  </sheetData>
  <mergeCells count="7">
    <mergeCell ref="K4:K5"/>
    <mergeCell ref="L4:L5"/>
    <mergeCell ref="B2:E2"/>
    <mergeCell ref="G4:G5"/>
    <mergeCell ref="H4:H5"/>
    <mergeCell ref="I4:I5"/>
    <mergeCell ref="J4:J5"/>
  </mergeCells>
  <phoneticPr fontId="1" type="noConversion"/>
  <pageMargins left="0.25" right="0.25" top="0.75" bottom="0.75" header="0.3" footer="0.3"/>
  <pageSetup paperSize="9" scale="56" orientation="portrait" horizontalDpi="4294967295" verticalDpi="4294967295" r:id="rId1"/>
  <ignoredErrors>
    <ignoredError sqref="C29 C31 C33" formula="1"/>
    <ignoredError sqref="L6:L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ProcessModel</vt:lpstr>
      <vt:lpstr>CostAnalysis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Weiming</dc:creator>
  <cp:lastModifiedBy>张伟明</cp:lastModifiedBy>
  <cp:lastPrinted>2017-05-01T06:36:47Z</cp:lastPrinted>
  <dcterms:created xsi:type="dcterms:W3CDTF">2016-12-12T10:27:46Z</dcterms:created>
  <dcterms:modified xsi:type="dcterms:W3CDTF">2017-05-01T06:58:01Z</dcterms:modified>
</cp:coreProperties>
</file>